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https://d.docs.live.net/338289e72a0b7d19/2565/แผน/"/>
    </mc:Choice>
  </mc:AlternateContent>
  <xr:revisionPtr revIDLastSave="17" documentId="8_{1AB80BC0-2325-41A5-9405-99D6B3EC7A12}" xr6:coauthVersionLast="47" xr6:coauthVersionMax="47" xr10:uidLastSave="{5969FF99-A56C-4AFF-86F3-BA3249065698}"/>
  <bookViews>
    <workbookView xWindow="-108" yWindow="-108" windowWidth="23256" windowHeight="12456" firstSheet="10" activeTab="10" xr2:uid="{00000000-000D-0000-FFFF-FFFF00000000}"/>
  </bookViews>
  <sheets>
    <sheet name="รวมเหนือ" sheetId="1" state="hidden" r:id="rId1"/>
    <sheet name="กำแพงเพชร" sheetId="2" state="hidden" r:id="rId2"/>
    <sheet name="เชียงราย" sheetId="3" state="hidden" r:id="rId3"/>
    <sheet name="เชียงใหม่" sheetId="4" state="hidden" r:id="rId4"/>
    <sheet name="ตาก" sheetId="5" state="hidden" r:id="rId5"/>
    <sheet name="นครสวรรค์" sheetId="6" state="hidden" r:id="rId6"/>
    <sheet name="น่าน" sheetId="7" state="hidden" r:id="rId7"/>
    <sheet name="พะเยา" sheetId="8" state="hidden" r:id="rId8"/>
    <sheet name="พิจิตร" sheetId="9" state="hidden" r:id="rId9"/>
    <sheet name="พิษณุโลก" sheetId="10" state="hidden" r:id="rId10"/>
    <sheet name="เพชรบูรณ์" sheetId="11" r:id="rId11"/>
    <sheet name="แพร่" sheetId="12" state="hidden" r:id="rId12"/>
    <sheet name="แม่ฮ่องสอน" sheetId="13" state="hidden" r:id="rId13"/>
    <sheet name="ลำปาง" sheetId="14" state="hidden" r:id="rId14"/>
    <sheet name="ลำพูน" sheetId="15" state="hidden" r:id="rId15"/>
    <sheet name="สุโขทัย" sheetId="16" state="hidden" r:id="rId16"/>
    <sheet name="อุตรดิตถ์" sheetId="17" state="hidden" r:id="rId17"/>
    <sheet name="อุทัยธานี" sheetId="18" state="hidden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N330" i="18"/>
  <c r="M330" i="18"/>
  <c r="P330" i="18" s="1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N311" i="18"/>
  <c r="M311" i="18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P291" i="18" s="1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L277" i="18"/>
  <c r="L276" i="18"/>
  <c r="N275" i="18"/>
  <c r="M275" i="18"/>
  <c r="O274" i="18"/>
  <c r="N272" i="18"/>
  <c r="M272" i="18"/>
  <c r="P272" i="18" s="1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O253" i="18"/>
  <c r="N251" i="18"/>
  <c r="M251" i="18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O141" i="18"/>
  <c r="N141" i="18"/>
  <c r="M141" i="18"/>
  <c r="P141" i="18" s="1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O69" i="18"/>
  <c r="N67" i="18"/>
  <c r="M67" i="18"/>
  <c r="P67" i="18" s="1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M53" i="18" s="1"/>
  <c r="N54" i="18"/>
  <c r="M54" i="18"/>
  <c r="P54" i="18" s="1"/>
  <c r="L54" i="18"/>
  <c r="O54" i="18" s="1"/>
  <c r="N49" i="18"/>
  <c r="L49" i="18"/>
  <c r="O49" i="18" s="1"/>
  <c r="L47" i="18"/>
  <c r="L46" i="18"/>
  <c r="N45" i="18"/>
  <c r="M45" i="18"/>
  <c r="M43" i="18" s="1"/>
  <c r="P42" i="18"/>
  <c r="O42" i="18"/>
  <c r="N42" i="18"/>
  <c r="M42" i="18"/>
  <c r="L42" i="18"/>
  <c r="P36" i="18"/>
  <c r="O36" i="18"/>
  <c r="P35" i="18"/>
  <c r="O35" i="18"/>
  <c r="P34" i="18"/>
  <c r="M34" i="18"/>
  <c r="M33" i="18"/>
  <c r="P33" i="18" s="1"/>
  <c r="M32" i="18"/>
  <c r="P32" i="18" s="1"/>
  <c r="M31" i="18"/>
  <c r="M30" i="18"/>
  <c r="P30" i="18" s="1"/>
  <c r="O25" i="18"/>
  <c r="N25" i="18"/>
  <c r="M25" i="18"/>
  <c r="P25" i="18" s="1"/>
  <c r="L25" i="18"/>
  <c r="N24" i="18"/>
  <c r="M24" i="18"/>
  <c r="N23" i="18"/>
  <c r="M23" i="18"/>
  <c r="N21" i="18"/>
  <c r="M21" i="18"/>
  <c r="M19" i="18" s="1"/>
  <c r="L21" i="18"/>
  <c r="O21" i="18" s="1"/>
  <c r="L15" i="18"/>
  <c r="O15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J649" i="17"/>
  <c r="I649" i="17"/>
  <c r="K649" i="17" s="1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N330" i="17"/>
  <c r="M330" i="17"/>
  <c r="P330" i="17" s="1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N272" i="17"/>
  <c r="M272" i="17"/>
  <c r="P272" i="17" s="1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L256" i="17"/>
  <c r="L255" i="17"/>
  <c r="N254" i="17"/>
  <c r="M254" i="17"/>
  <c r="O253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P141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P119" i="17" s="1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N95" i="17"/>
  <c r="M95" i="17"/>
  <c r="P95" i="17" s="1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M68" i="17" s="1"/>
  <c r="P68" i="17" s="1"/>
  <c r="O69" i="17"/>
  <c r="O67" i="17"/>
  <c r="N67" i="17"/>
  <c r="M67" i="17"/>
  <c r="P67" i="17" s="1"/>
  <c r="L67" i="17"/>
  <c r="J65" i="17"/>
  <c r="I65" i="17"/>
  <c r="K65" i="17" s="1"/>
  <c r="J64" i="17"/>
  <c r="I64" i="17"/>
  <c r="K64" i="17" s="1"/>
  <c r="N61" i="17"/>
  <c r="L61" i="17"/>
  <c r="L59" i="17"/>
  <c r="L58" i="17"/>
  <c r="N57" i="17"/>
  <c r="M57" i="17"/>
  <c r="O54" i="17"/>
  <c r="N54" i="17"/>
  <c r="M54" i="17"/>
  <c r="P54" i="17" s="1"/>
  <c r="L54" i="17"/>
  <c r="N49" i="17"/>
  <c r="L49" i="17"/>
  <c r="M49" i="17" s="1"/>
  <c r="L47" i="17"/>
  <c r="L46" i="17"/>
  <c r="N45" i="17"/>
  <c r="M45" i="17"/>
  <c r="N42" i="17"/>
  <c r="M42" i="17"/>
  <c r="L42" i="17"/>
  <c r="O42" i="17" s="1"/>
  <c r="P36" i="17"/>
  <c r="O36" i="17"/>
  <c r="P35" i="17"/>
  <c r="O35" i="17"/>
  <c r="M34" i="17"/>
  <c r="P34" i="17" s="1"/>
  <c r="M33" i="17"/>
  <c r="P33" i="17" s="1"/>
  <c r="M32" i="17"/>
  <c r="M31" i="17"/>
  <c r="P31" i="17" s="1"/>
  <c r="M29" i="17"/>
  <c r="P29" i="17" s="1"/>
  <c r="N25" i="17"/>
  <c r="N15" i="17" s="1"/>
  <c r="M25" i="17"/>
  <c r="L25" i="17"/>
  <c r="N24" i="17"/>
  <c r="M24" i="17"/>
  <c r="P24" i="17" s="1"/>
  <c r="N23" i="17"/>
  <c r="M23" i="17"/>
  <c r="P23" i="17" s="1"/>
  <c r="O21" i="17"/>
  <c r="N21" i="17"/>
  <c r="M21" i="17"/>
  <c r="P21" i="17" s="1"/>
  <c r="L21" i="17"/>
  <c r="M11" i="17"/>
  <c r="P11" i="17" s="1"/>
  <c r="J677" i="16"/>
  <c r="J676" i="16"/>
  <c r="J675" i="16"/>
  <c r="J674" i="16"/>
  <c r="J673" i="16"/>
  <c r="J672" i="16"/>
  <c r="N671" i="16"/>
  <c r="L671" i="16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5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O332" i="16"/>
  <c r="N330" i="16"/>
  <c r="M330" i="16"/>
  <c r="P330" i="16" s="1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L316" i="16"/>
  <c r="L315" i="16"/>
  <c r="N314" i="16"/>
  <c r="M314" i="16"/>
  <c r="P314" i="16" s="1"/>
  <c r="O313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M271" i="16" s="1"/>
  <c r="O274" i="16"/>
  <c r="N272" i="16"/>
  <c r="M272" i="16"/>
  <c r="P272" i="16" s="1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L256" i="16"/>
  <c r="L255" i="16"/>
  <c r="N254" i="16"/>
  <c r="M254" i="16"/>
  <c r="P254" i="16" s="1"/>
  <c r="O253" i="16"/>
  <c r="N251" i="16"/>
  <c r="M251" i="16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N141" i="16"/>
  <c r="M141" i="16"/>
  <c r="L141" i="16"/>
  <c r="O141" i="16" s="1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N119" i="16"/>
  <c r="M119" i="16"/>
  <c r="L119" i="16"/>
  <c r="O119" i="16" s="1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M96" i="16" s="1"/>
  <c r="O97" i="16"/>
  <c r="N95" i="16"/>
  <c r="M95" i="16"/>
  <c r="P95" i="16" s="1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L72" i="16"/>
  <c r="L71" i="16"/>
  <c r="N70" i="16"/>
  <c r="M70" i="16"/>
  <c r="O69" i="16"/>
  <c r="N67" i="16"/>
  <c r="M67" i="16"/>
  <c r="P67" i="16" s="1"/>
  <c r="L67" i="16"/>
  <c r="O67" i="16" s="1"/>
  <c r="J65" i="16"/>
  <c r="I65" i="16"/>
  <c r="J64" i="16"/>
  <c r="I64" i="16"/>
  <c r="N61" i="16"/>
  <c r="L61" i="16"/>
  <c r="L59" i="16"/>
  <c r="L58" i="16"/>
  <c r="N57" i="16"/>
  <c r="M57" i="16"/>
  <c r="N54" i="16"/>
  <c r="M54" i="16"/>
  <c r="P54" i="16" s="1"/>
  <c r="L54" i="16"/>
  <c r="O54" i="16" s="1"/>
  <c r="N49" i="16"/>
  <c r="L49" i="16"/>
  <c r="M49" i="16" s="1"/>
  <c r="L47" i="16"/>
  <c r="L46" i="16"/>
  <c r="N45" i="16"/>
  <c r="M45" i="16"/>
  <c r="N42" i="16"/>
  <c r="M42" i="16"/>
  <c r="L42" i="16"/>
  <c r="O42" i="16" s="1"/>
  <c r="P36" i="16"/>
  <c r="O36" i="16"/>
  <c r="P35" i="16"/>
  <c r="O35" i="16"/>
  <c r="M34" i="16"/>
  <c r="P34" i="16" s="1"/>
  <c r="M33" i="16"/>
  <c r="P33" i="16" s="1"/>
  <c r="M32" i="16"/>
  <c r="M31" i="16"/>
  <c r="P31" i="16" s="1"/>
  <c r="N25" i="16"/>
  <c r="N15" i="16" s="1"/>
  <c r="M25" i="16"/>
  <c r="L25" i="16"/>
  <c r="N24" i="16"/>
  <c r="M24" i="16"/>
  <c r="P24" i="16" s="1"/>
  <c r="N23" i="16"/>
  <c r="M23" i="16"/>
  <c r="P23" i="16" s="1"/>
  <c r="P21" i="16"/>
  <c r="N21" i="16"/>
  <c r="M21" i="16"/>
  <c r="L21" i="16"/>
  <c r="O21" i="16" s="1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N311" i="15"/>
  <c r="M311" i="15"/>
  <c r="P311" i="15" s="1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N291" i="15"/>
  <c r="M291" i="15"/>
  <c r="P291" i="15" s="1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P272" i="15" s="1"/>
  <c r="L272" i="15"/>
  <c r="O272" i="15" s="1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P254" i="15" s="1"/>
  <c r="O253" i="15"/>
  <c r="N251" i="15"/>
  <c r="M251" i="15"/>
  <c r="P251" i="15" s="1"/>
  <c r="L251" i="15"/>
  <c r="O251" i="15" s="1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L226" i="15"/>
  <c r="L225" i="15"/>
  <c r="N224" i="15"/>
  <c r="M224" i="15"/>
  <c r="M222" i="15" s="1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M148" i="15" s="1"/>
  <c r="M148" i="1" s="1"/>
  <c r="L146" i="15"/>
  <c r="L145" i="15"/>
  <c r="N144" i="15"/>
  <c r="M144" i="15"/>
  <c r="O143" i="15"/>
  <c r="N141" i="15"/>
  <c r="M141" i="15"/>
  <c r="P141" i="15" s="1"/>
  <c r="L141" i="15"/>
  <c r="O141" i="15" s="1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N95" i="15"/>
  <c r="M95" i="15"/>
  <c r="P95" i="15" s="1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L72" i="15"/>
  <c r="L71" i="15"/>
  <c r="N70" i="15"/>
  <c r="M70" i="15"/>
  <c r="M68" i="15" s="1"/>
  <c r="O69" i="15"/>
  <c r="N67" i="15"/>
  <c r="M67" i="15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N54" i="15"/>
  <c r="M54" i="15"/>
  <c r="L54" i="15"/>
  <c r="O54" i="15" s="1"/>
  <c r="N49" i="15"/>
  <c r="L49" i="15"/>
  <c r="O49" i="15" s="1"/>
  <c r="L47" i="15"/>
  <c r="L46" i="15"/>
  <c r="N45" i="15"/>
  <c r="M45" i="15"/>
  <c r="M43" i="15" s="1"/>
  <c r="N42" i="15"/>
  <c r="M42" i="15"/>
  <c r="P42" i="15" s="1"/>
  <c r="L42" i="15"/>
  <c r="O42" i="15" s="1"/>
  <c r="P36" i="15"/>
  <c r="O36" i="15"/>
  <c r="P35" i="15"/>
  <c r="O35" i="15"/>
  <c r="M34" i="15"/>
  <c r="P34" i="15" s="1"/>
  <c r="M33" i="15"/>
  <c r="P33" i="15" s="1"/>
  <c r="M32" i="15"/>
  <c r="M31" i="15"/>
  <c r="N25" i="15"/>
  <c r="N15" i="15" s="1"/>
  <c r="M25" i="15"/>
  <c r="L25" i="15"/>
  <c r="O25" i="15" s="1"/>
  <c r="N24" i="15"/>
  <c r="M24" i="15"/>
  <c r="P23" i="15"/>
  <c r="N23" i="15"/>
  <c r="M23" i="15"/>
  <c r="M13" i="15" s="1"/>
  <c r="P13" i="15" s="1"/>
  <c r="P21" i="15"/>
  <c r="O21" i="15"/>
  <c r="N21" i="15"/>
  <c r="M21" i="15"/>
  <c r="M11" i="15" s="1"/>
  <c r="L21" i="15"/>
  <c r="L15" i="15"/>
  <c r="O15" i="15" s="1"/>
  <c r="J677" i="14"/>
  <c r="J676" i="14"/>
  <c r="J675" i="14"/>
  <c r="J674" i="14"/>
  <c r="J673" i="14"/>
  <c r="J672" i="14"/>
  <c r="N671" i="14"/>
  <c r="L671" i="14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O293" i="14"/>
  <c r="N291" i="14"/>
  <c r="M291" i="14"/>
  <c r="P291" i="14" s="1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M102" i="14" s="1"/>
  <c r="L100" i="14"/>
  <c r="L99" i="14"/>
  <c r="N98" i="14"/>
  <c r="M98" i="14"/>
  <c r="O97" i="14"/>
  <c r="N95" i="14"/>
  <c r="M95" i="14"/>
  <c r="P95" i="14" s="1"/>
  <c r="L95" i="14"/>
  <c r="O95" i="14" s="1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M68" i="14" s="1"/>
  <c r="P68" i="14" s="1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M43" i="14" s="1"/>
  <c r="N42" i="14"/>
  <c r="M42" i="14"/>
  <c r="P42" i="14" s="1"/>
  <c r="L42" i="14"/>
  <c r="O42" i="14" s="1"/>
  <c r="P36" i="14"/>
  <c r="O36" i="14"/>
  <c r="P35" i="14"/>
  <c r="O35" i="14"/>
  <c r="M34" i="14"/>
  <c r="P34" i="14" s="1"/>
  <c r="M33" i="14"/>
  <c r="P33" i="14" s="1"/>
  <c r="M32" i="14"/>
  <c r="M31" i="14"/>
  <c r="N25" i="14"/>
  <c r="N15" i="14" s="1"/>
  <c r="M25" i="14"/>
  <c r="L25" i="14"/>
  <c r="O25" i="14" s="1"/>
  <c r="N24" i="14"/>
  <c r="M24" i="14"/>
  <c r="N23" i="14"/>
  <c r="M23" i="14"/>
  <c r="N21" i="14"/>
  <c r="M21" i="14"/>
  <c r="P21" i="14" s="1"/>
  <c r="L21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M26" i="13" s="1"/>
  <c r="L335" i="13"/>
  <c r="L334" i="13"/>
  <c r="N333" i="13"/>
  <c r="M333" i="13"/>
  <c r="O332" i="13"/>
  <c r="N330" i="13"/>
  <c r="M330" i="13"/>
  <c r="P330" i="13" s="1"/>
  <c r="L330" i="13"/>
  <c r="O330" i="13" s="1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L296" i="13"/>
  <c r="L295" i="13"/>
  <c r="N294" i="13"/>
  <c r="M294" i="13"/>
  <c r="P294" i="13" s="1"/>
  <c r="O293" i="13"/>
  <c r="N291" i="13"/>
  <c r="M291" i="13"/>
  <c r="P291" i="13" s="1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P141" i="13" s="1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N95" i="13"/>
  <c r="M95" i="13"/>
  <c r="P95" i="13" s="1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N54" i="13"/>
  <c r="M54" i="13"/>
  <c r="P54" i="13" s="1"/>
  <c r="L54" i="13"/>
  <c r="N49" i="13"/>
  <c r="L49" i="13"/>
  <c r="O49" i="13" s="1"/>
  <c r="L47" i="13"/>
  <c r="L46" i="13"/>
  <c r="N45" i="13"/>
  <c r="M45" i="13"/>
  <c r="M43" i="13" s="1"/>
  <c r="N42" i="13"/>
  <c r="M42" i="13"/>
  <c r="L42" i="13"/>
  <c r="O42" i="13" s="1"/>
  <c r="P36" i="13"/>
  <c r="O36" i="13"/>
  <c r="P35" i="13"/>
  <c r="O35" i="13"/>
  <c r="M34" i="13"/>
  <c r="P34" i="13" s="1"/>
  <c r="M33" i="13"/>
  <c r="M32" i="13"/>
  <c r="M31" i="13"/>
  <c r="N25" i="13"/>
  <c r="N15" i="13" s="1"/>
  <c r="M25" i="13"/>
  <c r="L25" i="13"/>
  <c r="N24" i="13"/>
  <c r="M24" i="13"/>
  <c r="P23" i="13"/>
  <c r="N23" i="13"/>
  <c r="M23" i="13"/>
  <c r="N21" i="13"/>
  <c r="M21" i="13"/>
  <c r="P21" i="13" s="1"/>
  <c r="L21" i="13"/>
  <c r="O21" i="13" s="1"/>
  <c r="N19" i="13"/>
  <c r="M19" i="13"/>
  <c r="L19" i="13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P311" i="12" s="1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N291" i="12"/>
  <c r="M291" i="12"/>
  <c r="P291" i="12" s="1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P272" i="12" s="1"/>
  <c r="L272" i="12"/>
  <c r="O272" i="12" s="1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N221" i="12"/>
  <c r="M221" i="12"/>
  <c r="P221" i="12" s="1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N141" i="12"/>
  <c r="M141" i="12"/>
  <c r="L141" i="12"/>
  <c r="O141" i="12" s="1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L124" i="12"/>
  <c r="L123" i="12"/>
  <c r="N122" i="12"/>
  <c r="M122" i="12"/>
  <c r="M120" i="12" s="1"/>
  <c r="O121" i="12"/>
  <c r="N119" i="12"/>
  <c r="M119" i="12"/>
  <c r="L119" i="12"/>
  <c r="O119" i="12" s="1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P70" i="12" s="1"/>
  <c r="O69" i="12"/>
  <c r="N67" i="12"/>
  <c r="M67" i="12"/>
  <c r="P67" i="12" s="1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N54" i="12"/>
  <c r="M54" i="12"/>
  <c r="P54" i="12" s="1"/>
  <c r="L54" i="12"/>
  <c r="O54" i="12" s="1"/>
  <c r="N49" i="12"/>
  <c r="L49" i="12"/>
  <c r="M49" i="12" s="1"/>
  <c r="L47" i="12"/>
  <c r="L46" i="12"/>
  <c r="N45" i="12"/>
  <c r="M45" i="12"/>
  <c r="N42" i="12"/>
  <c r="M42" i="12"/>
  <c r="L42" i="12"/>
  <c r="O42" i="12" s="1"/>
  <c r="P36" i="12"/>
  <c r="O36" i="12"/>
  <c r="P35" i="12"/>
  <c r="O35" i="12"/>
  <c r="M34" i="12"/>
  <c r="P34" i="12" s="1"/>
  <c r="M33" i="12"/>
  <c r="P33" i="12" s="1"/>
  <c r="M32" i="12"/>
  <c r="P32" i="12" s="1"/>
  <c r="M31" i="12"/>
  <c r="P31" i="12" s="1"/>
  <c r="N25" i="12"/>
  <c r="M25" i="12"/>
  <c r="P25" i="12" s="1"/>
  <c r="L25" i="12"/>
  <c r="N24" i="12"/>
  <c r="M24" i="12"/>
  <c r="P24" i="12" s="1"/>
  <c r="P23" i="12"/>
  <c r="N23" i="12"/>
  <c r="M23" i="12"/>
  <c r="N21" i="12"/>
  <c r="M21" i="12"/>
  <c r="L21" i="12"/>
  <c r="O21" i="12" s="1"/>
  <c r="N15" i="12"/>
  <c r="M15" i="12"/>
  <c r="P15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N330" i="11"/>
  <c r="M330" i="11"/>
  <c r="P330" i="11" s="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L316" i="11"/>
  <c r="L315" i="11"/>
  <c r="N314" i="11"/>
  <c r="M314" i="11"/>
  <c r="P314" i="11" s="1"/>
  <c r="O313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N272" i="11"/>
  <c r="M272" i="11"/>
  <c r="L272" i="11"/>
  <c r="O272" i="11" s="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L256" i="11"/>
  <c r="L255" i="11"/>
  <c r="N254" i="11"/>
  <c r="M254" i="11"/>
  <c r="O253" i="11"/>
  <c r="N251" i="11"/>
  <c r="M251" i="11"/>
  <c r="L251" i="11"/>
  <c r="O251" i="11" s="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P221" i="11" s="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P141" i="11" s="1"/>
  <c r="L141" i="11"/>
  <c r="O141" i="11" s="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N119" i="11"/>
  <c r="M119" i="11"/>
  <c r="P119" i="11" s="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N95" i="11"/>
  <c r="M95" i="11"/>
  <c r="P95" i="11" s="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N67" i="11"/>
  <c r="M67" i="11"/>
  <c r="P67" i="11" s="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N54" i="11"/>
  <c r="M54" i="11"/>
  <c r="P54" i="11" s="1"/>
  <c r="L54" i="11"/>
  <c r="O54" i="11" s="1"/>
  <c r="N49" i="11"/>
  <c r="L49" i="11"/>
  <c r="M49" i="11" s="1"/>
  <c r="L47" i="11"/>
  <c r="L46" i="11"/>
  <c r="N45" i="11"/>
  <c r="M45" i="11"/>
  <c r="N42" i="11"/>
  <c r="M42" i="11"/>
  <c r="P42" i="11" s="1"/>
  <c r="L42" i="11"/>
  <c r="P36" i="11"/>
  <c r="O36" i="11"/>
  <c r="P35" i="11"/>
  <c r="O35" i="11"/>
  <c r="M34" i="11"/>
  <c r="P34" i="11" s="1"/>
  <c r="M33" i="11"/>
  <c r="P33" i="11" s="1"/>
  <c r="M32" i="11"/>
  <c r="M30" i="11" s="1"/>
  <c r="P30" i="11" s="1"/>
  <c r="M31" i="11"/>
  <c r="P31" i="11" s="1"/>
  <c r="M29" i="11"/>
  <c r="P29" i="11" s="1"/>
  <c r="P25" i="11"/>
  <c r="O25" i="11"/>
  <c r="N25" i="11"/>
  <c r="N15" i="11" s="1"/>
  <c r="M25" i="11"/>
  <c r="L25" i="11"/>
  <c r="N24" i="11"/>
  <c r="M24" i="11"/>
  <c r="P24" i="11" s="1"/>
  <c r="N23" i="11"/>
  <c r="M23" i="11"/>
  <c r="P23" i="11" s="1"/>
  <c r="N21" i="11"/>
  <c r="N19" i="11" s="1"/>
  <c r="M21" i="11"/>
  <c r="L21" i="11"/>
  <c r="M15" i="11"/>
  <c r="P15" i="11" s="1"/>
  <c r="L15" i="11"/>
  <c r="O15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N352" i="10"/>
  <c r="L352" i="10"/>
  <c r="O352" i="10" s="1"/>
  <c r="N351" i="10"/>
  <c r="L351" i="10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L316" i="10"/>
  <c r="L315" i="10"/>
  <c r="N314" i="10"/>
  <c r="M314" i="10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N272" i="10"/>
  <c r="M272" i="10"/>
  <c r="P272" i="10" s="1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L256" i="10"/>
  <c r="L255" i="10"/>
  <c r="N254" i="10"/>
  <c r="M254" i="10"/>
  <c r="O253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L226" i="10"/>
  <c r="L225" i="10"/>
  <c r="N224" i="10"/>
  <c r="M224" i="10"/>
  <c r="P224" i="10" s="1"/>
  <c r="O223" i="10"/>
  <c r="N221" i="10"/>
  <c r="M221" i="10"/>
  <c r="P221" i="10" s="1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N67" i="10"/>
  <c r="M67" i="10"/>
  <c r="P67" i="10" s="1"/>
  <c r="L67" i="10"/>
  <c r="O67" i="10" s="1"/>
  <c r="J65" i="10"/>
  <c r="I65" i="10"/>
  <c r="J64" i="10"/>
  <c r="I64" i="10"/>
  <c r="N61" i="10"/>
  <c r="L61" i="10"/>
  <c r="O61" i="10" s="1"/>
  <c r="L59" i="10"/>
  <c r="L58" i="10"/>
  <c r="N57" i="10"/>
  <c r="M57" i="10"/>
  <c r="P54" i="10"/>
  <c r="N54" i="10"/>
  <c r="M54" i="10"/>
  <c r="L54" i="10"/>
  <c r="O54" i="10" s="1"/>
  <c r="N49" i="10"/>
  <c r="L49" i="10"/>
  <c r="O49" i="10" s="1"/>
  <c r="L47" i="10"/>
  <c r="L46" i="10"/>
  <c r="N45" i="10"/>
  <c r="M45" i="10"/>
  <c r="N42" i="10"/>
  <c r="M42" i="10"/>
  <c r="P42" i="10" s="1"/>
  <c r="L42" i="10"/>
  <c r="P36" i="10"/>
  <c r="O36" i="10"/>
  <c r="P35" i="10"/>
  <c r="O35" i="10"/>
  <c r="M34" i="10"/>
  <c r="P34" i="10" s="1"/>
  <c r="M33" i="10"/>
  <c r="P33" i="10" s="1"/>
  <c r="M32" i="10"/>
  <c r="P32" i="10" s="1"/>
  <c r="M31" i="10"/>
  <c r="M29" i="10" s="1"/>
  <c r="M30" i="10"/>
  <c r="P30" i="10" s="1"/>
  <c r="P25" i="10"/>
  <c r="N25" i="10"/>
  <c r="N15" i="10" s="1"/>
  <c r="M25" i="10"/>
  <c r="L25" i="10"/>
  <c r="O25" i="10" s="1"/>
  <c r="N24" i="10"/>
  <c r="M24" i="10"/>
  <c r="N23" i="10"/>
  <c r="M23" i="10"/>
  <c r="P23" i="10" s="1"/>
  <c r="N21" i="10"/>
  <c r="M21" i="10"/>
  <c r="L21" i="10"/>
  <c r="N19" i="10"/>
  <c r="M15" i="10"/>
  <c r="P15" i="10" s="1"/>
  <c r="L15" i="10"/>
  <c r="O15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L316" i="9"/>
  <c r="L315" i="9"/>
  <c r="N314" i="9"/>
  <c r="M314" i="9"/>
  <c r="P314" i="9" s="1"/>
  <c r="O313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P272" i="9" s="1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L256" i="9"/>
  <c r="L255" i="9"/>
  <c r="N254" i="9"/>
  <c r="M254" i="9"/>
  <c r="O253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L226" i="9"/>
  <c r="L225" i="9"/>
  <c r="N224" i="9"/>
  <c r="M224" i="9"/>
  <c r="O223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M140" i="9" s="1"/>
  <c r="O143" i="9"/>
  <c r="N141" i="9"/>
  <c r="M141" i="9"/>
  <c r="P141" i="9" s="1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N98" i="9"/>
  <c r="M98" i="9"/>
  <c r="P98" i="9" s="1"/>
  <c r="O97" i="9"/>
  <c r="O95" i="9"/>
  <c r="N95" i="9"/>
  <c r="M95" i="9"/>
  <c r="P95" i="9" s="1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P70" i="9" s="1"/>
  <c r="O69" i="9"/>
  <c r="N67" i="9"/>
  <c r="M67" i="9"/>
  <c r="P67" i="9" s="1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M43" i="9" s="1"/>
  <c r="P42" i="9"/>
  <c r="O42" i="9"/>
  <c r="N42" i="9"/>
  <c r="M42" i="9"/>
  <c r="L42" i="9"/>
  <c r="P36" i="9"/>
  <c r="O36" i="9"/>
  <c r="P35" i="9"/>
  <c r="O35" i="9"/>
  <c r="P34" i="9"/>
  <c r="M34" i="9"/>
  <c r="M33" i="9"/>
  <c r="P33" i="9" s="1"/>
  <c r="M32" i="9"/>
  <c r="P32" i="9" s="1"/>
  <c r="M31" i="9"/>
  <c r="N25" i="9"/>
  <c r="N15" i="9" s="1"/>
  <c r="M25" i="9"/>
  <c r="P25" i="9" s="1"/>
  <c r="L25" i="9"/>
  <c r="L19" i="9" s="1"/>
  <c r="O19" i="9" s="1"/>
  <c r="N24" i="9"/>
  <c r="M24" i="9"/>
  <c r="P24" i="9" s="1"/>
  <c r="N23" i="9"/>
  <c r="M23" i="9"/>
  <c r="M13" i="9" s="1"/>
  <c r="P13" i="9" s="1"/>
  <c r="O21" i="9"/>
  <c r="N21" i="9"/>
  <c r="M21" i="9"/>
  <c r="P21" i="9" s="1"/>
  <c r="L21" i="9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P330" i="8" s="1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L277" i="8"/>
  <c r="L276" i="8"/>
  <c r="N275" i="8"/>
  <c r="M275" i="8"/>
  <c r="O274" i="8"/>
  <c r="N272" i="8"/>
  <c r="M272" i="8"/>
  <c r="P272" i="8" s="1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N251" i="8"/>
  <c r="M251" i="8"/>
  <c r="P251" i="8" s="1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N221" i="8"/>
  <c r="M221" i="8"/>
  <c r="P221" i="8" s="1"/>
  <c r="L221" i="8"/>
  <c r="O221" i="8" s="1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L146" i="8"/>
  <c r="L145" i="8"/>
  <c r="N144" i="8"/>
  <c r="M144" i="8"/>
  <c r="O143" i="8"/>
  <c r="N141" i="8"/>
  <c r="M141" i="8"/>
  <c r="P141" i="8" s="1"/>
  <c r="L141" i="8"/>
  <c r="O141" i="8" s="1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N119" i="8"/>
  <c r="M119" i="8"/>
  <c r="P119" i="8" s="1"/>
  <c r="L119" i="8"/>
  <c r="O119" i="8" s="1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M102" i="8" s="1"/>
  <c r="L100" i="8"/>
  <c r="L99" i="8"/>
  <c r="N98" i="8"/>
  <c r="M98" i="8"/>
  <c r="O97" i="8"/>
  <c r="N95" i="8"/>
  <c r="M95" i="8"/>
  <c r="P95" i="8" s="1"/>
  <c r="L95" i="8"/>
  <c r="O95" i="8" s="1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L72" i="8"/>
  <c r="L71" i="8"/>
  <c r="N70" i="8"/>
  <c r="M70" i="8"/>
  <c r="M68" i="8" s="1"/>
  <c r="M66" i="8" s="1"/>
  <c r="O69" i="8"/>
  <c r="N67" i="8"/>
  <c r="M67" i="8"/>
  <c r="P67" i="8" s="1"/>
  <c r="L67" i="8"/>
  <c r="O67" i="8" s="1"/>
  <c r="J65" i="8"/>
  <c r="I65" i="8"/>
  <c r="J64" i="8"/>
  <c r="I64" i="8"/>
  <c r="N61" i="8"/>
  <c r="L61" i="8"/>
  <c r="O61" i="8" s="1"/>
  <c r="L59" i="8"/>
  <c r="L58" i="8"/>
  <c r="N57" i="8"/>
  <c r="M57" i="8"/>
  <c r="M55" i="8" s="1"/>
  <c r="N54" i="8"/>
  <c r="M54" i="8"/>
  <c r="P54" i="8" s="1"/>
  <c r="L54" i="8"/>
  <c r="O54" i="8" s="1"/>
  <c r="N49" i="8"/>
  <c r="L49" i="8"/>
  <c r="L47" i="8"/>
  <c r="L46" i="8"/>
  <c r="N45" i="8"/>
  <c r="M45" i="8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P32" i="8"/>
  <c r="M32" i="8"/>
  <c r="M31" i="8"/>
  <c r="M29" i="8" s="1"/>
  <c r="M30" i="8"/>
  <c r="P30" i="8" s="1"/>
  <c r="N25" i="8"/>
  <c r="N15" i="8" s="1"/>
  <c r="M25" i="8"/>
  <c r="P25" i="8" s="1"/>
  <c r="L25" i="8"/>
  <c r="L15" i="8" s="1"/>
  <c r="O15" i="8" s="1"/>
  <c r="N24" i="8"/>
  <c r="M24" i="8"/>
  <c r="P24" i="8" s="1"/>
  <c r="N23" i="8"/>
  <c r="M23" i="8"/>
  <c r="P23" i="8" s="1"/>
  <c r="N21" i="8"/>
  <c r="N19" i="8" s="1"/>
  <c r="M21" i="8"/>
  <c r="L21" i="8"/>
  <c r="M15" i="8"/>
  <c r="P15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N291" i="7"/>
  <c r="M291" i="7"/>
  <c r="P291" i="7" s="1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N272" i="7"/>
  <c r="M272" i="7"/>
  <c r="P272" i="7" s="1"/>
  <c r="L272" i="7"/>
  <c r="O272" i="7" s="1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O223" i="7"/>
  <c r="N221" i="7"/>
  <c r="M221" i="7"/>
  <c r="P221" i="7" s="1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P141" i="7" s="1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P119" i="7" s="1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N95" i="7"/>
  <c r="M95" i="7"/>
  <c r="P95" i="7" s="1"/>
  <c r="L95" i="7"/>
  <c r="O95" i="7" s="1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N67" i="7"/>
  <c r="M67" i="7"/>
  <c r="P67" i="7" s="1"/>
  <c r="L67" i="7"/>
  <c r="J65" i="7"/>
  <c r="I65" i="7"/>
  <c r="J64" i="7"/>
  <c r="I64" i="7"/>
  <c r="N61" i="7"/>
  <c r="L61" i="7"/>
  <c r="O61" i="7" s="1"/>
  <c r="L59" i="7"/>
  <c r="L58" i="7"/>
  <c r="N57" i="7"/>
  <c r="M57" i="7"/>
  <c r="M55" i="7" s="1"/>
  <c r="N54" i="7"/>
  <c r="M54" i="7"/>
  <c r="L54" i="7"/>
  <c r="O54" i="7" s="1"/>
  <c r="N49" i="7"/>
  <c r="L49" i="7"/>
  <c r="L47" i="7"/>
  <c r="L46" i="7"/>
  <c r="N45" i="7"/>
  <c r="M45" i="7"/>
  <c r="N42" i="7"/>
  <c r="M42" i="7"/>
  <c r="P42" i="7" s="1"/>
  <c r="L42" i="7"/>
  <c r="O42" i="7" s="1"/>
  <c r="P36" i="7"/>
  <c r="O36" i="7"/>
  <c r="P35" i="7"/>
  <c r="O35" i="7"/>
  <c r="M34" i="7"/>
  <c r="P34" i="7" s="1"/>
  <c r="M33" i="7"/>
  <c r="P33" i="7" s="1"/>
  <c r="M32" i="7"/>
  <c r="P32" i="7" s="1"/>
  <c r="M31" i="7"/>
  <c r="P31" i="7" s="1"/>
  <c r="N25" i="7"/>
  <c r="N15" i="7" s="1"/>
  <c r="M25" i="7"/>
  <c r="M15" i="7" s="1"/>
  <c r="L25" i="7"/>
  <c r="O25" i="7" s="1"/>
  <c r="N24" i="7"/>
  <c r="M24" i="7"/>
  <c r="P24" i="7" s="1"/>
  <c r="N23" i="7"/>
  <c r="M23" i="7"/>
  <c r="N21" i="7"/>
  <c r="M21" i="7"/>
  <c r="L21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N457" i="6"/>
  <c r="L457" i="6"/>
  <c r="N456" i="6"/>
  <c r="L456" i="6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M290" i="6" s="1"/>
  <c r="P290" i="6" s="1"/>
  <c r="O293" i="6"/>
  <c r="N291" i="6"/>
  <c r="M291" i="6"/>
  <c r="P291" i="6" s="1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L277" i="6"/>
  <c r="L276" i="6"/>
  <c r="N275" i="6"/>
  <c r="M275" i="6"/>
  <c r="M273" i="6" s="1"/>
  <c r="O274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O141" i="6"/>
  <c r="N141" i="6"/>
  <c r="M141" i="6"/>
  <c r="P141" i="6" s="1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N119" i="6"/>
  <c r="M119" i="6"/>
  <c r="P119" i="6" s="1"/>
  <c r="L119" i="6"/>
  <c r="O119" i="6" s="1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P95" i="6" s="1"/>
  <c r="L95" i="6"/>
  <c r="O95" i="6" s="1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O67" i="6"/>
  <c r="N67" i="6"/>
  <c r="M67" i="6"/>
  <c r="P67" i="6" s="1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P54" i="6" s="1"/>
  <c r="L54" i="6"/>
  <c r="O54" i="6" s="1"/>
  <c r="N49" i="6"/>
  <c r="L49" i="6"/>
  <c r="L47" i="6"/>
  <c r="L46" i="6"/>
  <c r="N45" i="6"/>
  <c r="M45" i="6"/>
  <c r="N42" i="6"/>
  <c r="M42" i="6"/>
  <c r="P42" i="6" s="1"/>
  <c r="L42" i="6"/>
  <c r="O42" i="6" s="1"/>
  <c r="P36" i="6"/>
  <c r="O36" i="6"/>
  <c r="P35" i="6"/>
  <c r="O35" i="6"/>
  <c r="M34" i="6"/>
  <c r="P34" i="6" s="1"/>
  <c r="M33" i="6"/>
  <c r="P33" i="6" s="1"/>
  <c r="P32" i="6"/>
  <c r="M32" i="6"/>
  <c r="M30" i="6" s="1"/>
  <c r="P30" i="6" s="1"/>
  <c r="M31" i="6"/>
  <c r="P31" i="6" s="1"/>
  <c r="N25" i="6"/>
  <c r="N15" i="6" s="1"/>
  <c r="M25" i="6"/>
  <c r="L25" i="6"/>
  <c r="L15" i="6" s="1"/>
  <c r="O15" i="6" s="1"/>
  <c r="N24" i="6"/>
  <c r="M24" i="6"/>
  <c r="P24" i="6" s="1"/>
  <c r="N23" i="6"/>
  <c r="M23" i="6"/>
  <c r="N21" i="6"/>
  <c r="N19" i="6" s="1"/>
  <c r="M21" i="6"/>
  <c r="L21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N457" i="5"/>
  <c r="L457" i="5"/>
  <c r="N456" i="5"/>
  <c r="L456" i="5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M311" i="5"/>
  <c r="P311" i="5" s="1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L291" i="5"/>
  <c r="O291" i="5" s="1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L277" i="5"/>
  <c r="L276" i="5"/>
  <c r="N275" i="5"/>
  <c r="M275" i="5"/>
  <c r="M273" i="5" s="1"/>
  <c r="O274" i="5"/>
  <c r="N272" i="5"/>
  <c r="M272" i="5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N251" i="5"/>
  <c r="M251" i="5"/>
  <c r="P251" i="5" s="1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P221" i="5" s="1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N141" i="5"/>
  <c r="M141" i="5"/>
  <c r="P141" i="5" s="1"/>
  <c r="L141" i="5"/>
  <c r="O141" i="5" s="1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N119" i="5"/>
  <c r="M119" i="5"/>
  <c r="P119" i="5" s="1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P95" i="5" s="1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P67" i="5" s="1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N54" i="5"/>
  <c r="M54" i="5"/>
  <c r="P54" i="5" s="1"/>
  <c r="L54" i="5"/>
  <c r="O54" i="5" s="1"/>
  <c r="N49" i="5"/>
  <c r="L49" i="5"/>
  <c r="L47" i="5"/>
  <c r="L46" i="5"/>
  <c r="N45" i="5"/>
  <c r="M45" i="5"/>
  <c r="P42" i="5"/>
  <c r="N42" i="5"/>
  <c r="M42" i="5"/>
  <c r="L42" i="5"/>
  <c r="O42" i="5" s="1"/>
  <c r="P36" i="5"/>
  <c r="O36" i="5"/>
  <c r="P35" i="5"/>
  <c r="O35" i="5"/>
  <c r="M34" i="5"/>
  <c r="P34" i="5" s="1"/>
  <c r="M33" i="5"/>
  <c r="P33" i="5" s="1"/>
  <c r="M32" i="5"/>
  <c r="M31" i="5"/>
  <c r="M11" i="5" s="1"/>
  <c r="P11" i="5" s="1"/>
  <c r="N25" i="5"/>
  <c r="M25" i="5"/>
  <c r="L25" i="5"/>
  <c r="O25" i="5" s="1"/>
  <c r="N24" i="5"/>
  <c r="M24" i="5"/>
  <c r="P24" i="5" s="1"/>
  <c r="N23" i="5"/>
  <c r="M23" i="5"/>
  <c r="N21" i="5"/>
  <c r="M21" i="5"/>
  <c r="P21" i="5" s="1"/>
  <c r="L21" i="5"/>
  <c r="L15" i="5"/>
  <c r="O15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N330" i="4"/>
  <c r="M330" i="4"/>
  <c r="P330" i="4" s="1"/>
  <c r="L330" i="4"/>
  <c r="O330" i="4" s="1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N311" i="4"/>
  <c r="M311" i="4"/>
  <c r="P311" i="4" s="1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L277" i="4"/>
  <c r="L276" i="4"/>
  <c r="N275" i="4"/>
  <c r="M275" i="4"/>
  <c r="O274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M220" i="4" s="1"/>
  <c r="O223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P120" i="4" s="1"/>
  <c r="O121" i="4"/>
  <c r="O119" i="4"/>
  <c r="N119" i="4"/>
  <c r="M119" i="4"/>
  <c r="P119" i="4" s="1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N95" i="4"/>
  <c r="M95" i="4"/>
  <c r="P95" i="4" s="1"/>
  <c r="L95" i="4"/>
  <c r="O95" i="4" s="1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N67" i="4"/>
  <c r="M67" i="4"/>
  <c r="P67" i="4" s="1"/>
  <c r="L67" i="4"/>
  <c r="O67" i="4" s="1"/>
  <c r="J65" i="4"/>
  <c r="I65" i="4"/>
  <c r="J64" i="4"/>
  <c r="I64" i="4"/>
  <c r="N61" i="4"/>
  <c r="L61" i="4"/>
  <c r="O61" i="4" s="1"/>
  <c r="L59" i="4"/>
  <c r="L58" i="4"/>
  <c r="N57" i="4"/>
  <c r="M57" i="4"/>
  <c r="M55" i="4" s="1"/>
  <c r="M53" i="4" s="1"/>
  <c r="N54" i="4"/>
  <c r="M54" i="4"/>
  <c r="P54" i="4" s="1"/>
  <c r="L54" i="4"/>
  <c r="O54" i="4" s="1"/>
  <c r="N49" i="4"/>
  <c r="L49" i="4"/>
  <c r="L47" i="4"/>
  <c r="L46" i="4"/>
  <c r="N45" i="4"/>
  <c r="M45" i="4"/>
  <c r="N42" i="4"/>
  <c r="M42" i="4"/>
  <c r="P42" i="4" s="1"/>
  <c r="L42" i="4"/>
  <c r="P36" i="4"/>
  <c r="O36" i="4"/>
  <c r="P35" i="4"/>
  <c r="O35" i="4"/>
  <c r="M34" i="4"/>
  <c r="P34" i="4" s="1"/>
  <c r="M33" i="4"/>
  <c r="P33" i="4" s="1"/>
  <c r="M32" i="4"/>
  <c r="M30" i="4" s="1"/>
  <c r="P30" i="4" s="1"/>
  <c r="M31" i="4"/>
  <c r="N25" i="4"/>
  <c r="N15" i="4" s="1"/>
  <c r="M25" i="4"/>
  <c r="M15" i="4" s="1"/>
  <c r="P15" i="4" s="1"/>
  <c r="L25" i="4"/>
  <c r="O25" i="4" s="1"/>
  <c r="N24" i="4"/>
  <c r="M24" i="4"/>
  <c r="P24" i="4" s="1"/>
  <c r="N23" i="4"/>
  <c r="M23" i="4"/>
  <c r="P23" i="4" s="1"/>
  <c r="O21" i="4"/>
  <c r="N21" i="4"/>
  <c r="N19" i="4" s="1"/>
  <c r="M21" i="4"/>
  <c r="L21" i="4"/>
  <c r="L19" i="4" s="1"/>
  <c r="O19" i="4" s="1"/>
  <c r="O15" i="4"/>
  <c r="L15" i="4"/>
  <c r="M14" i="4"/>
  <c r="P14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J505" i="3"/>
  <c r="I505" i="3"/>
  <c r="K505" i="3" s="1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N337" i="3"/>
  <c r="L337" i="3"/>
  <c r="O337" i="3" s="1"/>
  <c r="L335" i="3"/>
  <c r="L334" i="3"/>
  <c r="N333" i="3"/>
  <c r="M333" i="3"/>
  <c r="M331" i="3" s="1"/>
  <c r="O332" i="3"/>
  <c r="N330" i="3"/>
  <c r="M330" i="3"/>
  <c r="P330" i="3" s="1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O221" i="3"/>
  <c r="N221" i="3"/>
  <c r="M221" i="3"/>
  <c r="P221" i="3" s="1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N119" i="3"/>
  <c r="M119" i="3"/>
  <c r="L119" i="3"/>
  <c r="O119" i="3" s="1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P95" i="3" s="1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N54" i="3"/>
  <c r="M54" i="3"/>
  <c r="P54" i="3" s="1"/>
  <c r="L54" i="3"/>
  <c r="O54" i="3" s="1"/>
  <c r="N49" i="3"/>
  <c r="L49" i="3"/>
  <c r="O49" i="3" s="1"/>
  <c r="L47" i="3"/>
  <c r="L46" i="3"/>
  <c r="N45" i="3"/>
  <c r="M45" i="3"/>
  <c r="M43" i="3" s="1"/>
  <c r="N42" i="3"/>
  <c r="M42" i="3"/>
  <c r="P42" i="3" s="1"/>
  <c r="L42" i="3"/>
  <c r="O42" i="3" s="1"/>
  <c r="P36" i="3"/>
  <c r="O36" i="3"/>
  <c r="P35" i="3"/>
  <c r="O35" i="3"/>
  <c r="M34" i="3"/>
  <c r="P34" i="3" s="1"/>
  <c r="M33" i="3"/>
  <c r="P33" i="3" s="1"/>
  <c r="M32" i="3"/>
  <c r="P32" i="3" s="1"/>
  <c r="M31" i="3"/>
  <c r="M29" i="3" s="1"/>
  <c r="P29" i="3" s="1"/>
  <c r="N25" i="3"/>
  <c r="M25" i="3"/>
  <c r="L25" i="3"/>
  <c r="O25" i="3" s="1"/>
  <c r="N24" i="3"/>
  <c r="M24" i="3"/>
  <c r="P24" i="3" s="1"/>
  <c r="N23" i="3"/>
  <c r="M23" i="3"/>
  <c r="N21" i="3"/>
  <c r="M21" i="3"/>
  <c r="M11" i="3" s="1"/>
  <c r="L21" i="3"/>
  <c r="O21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J667" i="2"/>
  <c r="J666" i="2"/>
  <c r="N665" i="2"/>
  <c r="L665" i="2"/>
  <c r="J665" i="2"/>
  <c r="I665" i="2"/>
  <c r="J663" i="2"/>
  <c r="I663" i="2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N650" i="2"/>
  <c r="L650" i="2"/>
  <c r="O650" i="2" s="1"/>
  <c r="J650" i="2"/>
  <c r="I650" i="2"/>
  <c r="N649" i="2"/>
  <c r="L649" i="2"/>
  <c r="O649" i="2" s="1"/>
  <c r="J649" i="2"/>
  <c r="I649" i="2"/>
  <c r="N648" i="2"/>
  <c r="L648" i="2"/>
  <c r="O648" i="2" s="1"/>
  <c r="J648" i="2"/>
  <c r="I648" i="2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J578" i="2"/>
  <c r="I578" i="2"/>
  <c r="K578" i="2" s="1"/>
  <c r="J577" i="2"/>
  <c r="I577" i="2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N330" i="2"/>
  <c r="M330" i="2"/>
  <c r="M330" i="1" s="1"/>
  <c r="P330" i="1" s="1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P294" i="2" s="1"/>
  <c r="O293" i="2"/>
  <c r="N291" i="2"/>
  <c r="M291" i="2"/>
  <c r="M291" i="1" s="1"/>
  <c r="P291" i="1" s="1"/>
  <c r="L291" i="2"/>
  <c r="O291" i="2" s="1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N272" i="2"/>
  <c r="M272" i="2"/>
  <c r="P272" i="2" s="1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N251" i="2"/>
  <c r="M251" i="2"/>
  <c r="P251" i="2" s="1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O143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N67" i="2"/>
  <c r="M67" i="2"/>
  <c r="P67" i="2" s="1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N42" i="2"/>
  <c r="M42" i="2"/>
  <c r="P42" i="2" s="1"/>
  <c r="L42" i="2"/>
  <c r="P36" i="2"/>
  <c r="O36" i="2"/>
  <c r="P35" i="2"/>
  <c r="O35" i="2"/>
  <c r="M34" i="2"/>
  <c r="P34" i="2" s="1"/>
  <c r="M33" i="2"/>
  <c r="P33" i="2" s="1"/>
  <c r="M32" i="2"/>
  <c r="M30" i="2" s="1"/>
  <c r="P30" i="2" s="1"/>
  <c r="M31" i="2"/>
  <c r="P31" i="2" s="1"/>
  <c r="M26" i="2"/>
  <c r="P26" i="2" s="1"/>
  <c r="N25" i="2"/>
  <c r="N15" i="2" s="1"/>
  <c r="M25" i="2"/>
  <c r="M15" i="2" s="1"/>
  <c r="P15" i="2" s="1"/>
  <c r="L25" i="2"/>
  <c r="O25" i="2" s="1"/>
  <c r="N24" i="2"/>
  <c r="M24" i="2"/>
  <c r="P24" i="2" s="1"/>
  <c r="N23" i="2"/>
  <c r="M23" i="2"/>
  <c r="N21" i="2"/>
  <c r="M21" i="2"/>
  <c r="L21" i="2"/>
  <c r="P16" i="2"/>
  <c r="M16" i="2"/>
  <c r="O639" i="1"/>
  <c r="O637" i="1"/>
  <c r="I548" i="1"/>
  <c r="K548" i="1" s="1"/>
  <c r="I365" i="1"/>
  <c r="K365" i="1" s="1"/>
  <c r="L336" i="1"/>
  <c r="N332" i="1"/>
  <c r="M332" i="1"/>
  <c r="L332" i="1"/>
  <c r="O332" i="1" s="1"/>
  <c r="L330" i="1"/>
  <c r="O330" i="1" s="1"/>
  <c r="L317" i="1"/>
  <c r="N313" i="1"/>
  <c r="M313" i="1"/>
  <c r="L313" i="1"/>
  <c r="O313" i="1" s="1"/>
  <c r="N311" i="1"/>
  <c r="L311" i="1"/>
  <c r="O311" i="1" s="1"/>
  <c r="J307" i="1"/>
  <c r="L297" i="1"/>
  <c r="N293" i="1"/>
  <c r="M293" i="1"/>
  <c r="L293" i="1"/>
  <c r="O293" i="1" s="1"/>
  <c r="O291" i="1"/>
  <c r="N291" i="1"/>
  <c r="L291" i="1"/>
  <c r="L278" i="1"/>
  <c r="N274" i="1"/>
  <c r="M274" i="1"/>
  <c r="L274" i="1"/>
  <c r="O274" i="1" s="1"/>
  <c r="N272" i="1"/>
  <c r="L257" i="1"/>
  <c r="N253" i="1"/>
  <c r="M253" i="1"/>
  <c r="L253" i="1"/>
  <c r="O253" i="1" s="1"/>
  <c r="N251" i="1"/>
  <c r="J240" i="1"/>
  <c r="L227" i="1"/>
  <c r="N223" i="1"/>
  <c r="M223" i="1"/>
  <c r="L223" i="1"/>
  <c r="O223" i="1" s="1"/>
  <c r="N221" i="1"/>
  <c r="M221" i="1"/>
  <c r="P221" i="1" s="1"/>
  <c r="J214" i="1"/>
  <c r="I214" i="1"/>
  <c r="J198" i="1"/>
  <c r="L147" i="1"/>
  <c r="N143" i="1"/>
  <c r="M143" i="1"/>
  <c r="L143" i="1"/>
  <c r="O143" i="1" s="1"/>
  <c r="M141" i="1"/>
  <c r="P141" i="1" s="1"/>
  <c r="L141" i="1"/>
  <c r="O141" i="1" s="1"/>
  <c r="L125" i="1"/>
  <c r="N121" i="1"/>
  <c r="M121" i="1"/>
  <c r="L121" i="1"/>
  <c r="O121" i="1" s="1"/>
  <c r="N119" i="1"/>
  <c r="M119" i="1"/>
  <c r="P119" i="1" s="1"/>
  <c r="L101" i="1"/>
  <c r="N97" i="1"/>
  <c r="M97" i="1"/>
  <c r="L97" i="1"/>
  <c r="O97" i="1" s="1"/>
  <c r="L95" i="1"/>
  <c r="O95" i="1" s="1"/>
  <c r="L73" i="1"/>
  <c r="N69" i="1"/>
  <c r="M69" i="1"/>
  <c r="L69" i="1"/>
  <c r="O69" i="1" s="1"/>
  <c r="L67" i="1"/>
  <c r="O67" i="1" s="1"/>
  <c r="L60" i="1"/>
  <c r="L56" i="1"/>
  <c r="N54" i="1"/>
  <c r="M54" i="1"/>
  <c r="P54" i="1" s="1"/>
  <c r="L48" i="1"/>
  <c r="L44" i="1"/>
  <c r="L42" i="1" s="1"/>
  <c r="O42" i="1" s="1"/>
  <c r="N42" i="1"/>
  <c r="M42" i="1"/>
  <c r="P36" i="1"/>
  <c r="O36" i="1"/>
  <c r="P35" i="1"/>
  <c r="O35" i="1"/>
  <c r="M34" i="1"/>
  <c r="P34" i="1" s="1"/>
  <c r="M33" i="1"/>
  <c r="P33" i="1" s="1"/>
  <c r="M32" i="1"/>
  <c r="P32" i="1" s="1"/>
  <c r="M31" i="1"/>
  <c r="M29" i="1" s="1"/>
  <c r="N25" i="1"/>
  <c r="N15" i="1" s="1"/>
  <c r="M25" i="1"/>
  <c r="P25" i="1" s="1"/>
  <c r="N24" i="1"/>
  <c r="M24" i="1"/>
  <c r="P24" i="1" s="1"/>
  <c r="N23" i="1"/>
  <c r="M23" i="1"/>
  <c r="P23" i="1" s="1"/>
  <c r="M14" i="1"/>
  <c r="P14" i="1" s="1"/>
  <c r="K164" i="16" l="1"/>
  <c r="L25" i="1"/>
  <c r="L19" i="3"/>
  <c r="O19" i="3" s="1"/>
  <c r="N19" i="7"/>
  <c r="P25" i="7"/>
  <c r="M19" i="9"/>
  <c r="P19" i="9" s="1"/>
  <c r="M30" i="12"/>
  <c r="P30" i="12" s="1"/>
  <c r="M29" i="2"/>
  <c r="P29" i="2" s="1"/>
  <c r="M19" i="4"/>
  <c r="N19" i="5"/>
  <c r="M13" i="12"/>
  <c r="P13" i="12" s="1"/>
  <c r="N19" i="15"/>
  <c r="L15" i="2"/>
  <c r="O15" i="2" s="1"/>
  <c r="M29" i="5"/>
  <c r="P21" i="18"/>
  <c r="N21" i="1"/>
  <c r="P32" i="11"/>
  <c r="P25" i="4"/>
  <c r="P31" i="5"/>
  <c r="L15" i="7"/>
  <c r="O15" i="7" s="1"/>
  <c r="P31" i="8"/>
  <c r="M14" i="10"/>
  <c r="P14" i="10" s="1"/>
  <c r="M94" i="16"/>
  <c r="P94" i="16" s="1"/>
  <c r="M11" i="9"/>
  <c r="O25" i="9"/>
  <c r="P31" i="10"/>
  <c r="M28" i="11"/>
  <c r="P28" i="11" s="1"/>
  <c r="L19" i="2"/>
  <c r="O19" i="2" s="1"/>
  <c r="L15" i="9"/>
  <c r="O15" i="9" s="1"/>
  <c r="M15" i="18"/>
  <c r="P15" i="18" s="1"/>
  <c r="M19" i="7"/>
  <c r="M29" i="12"/>
  <c r="M19" i="14"/>
  <c r="P19" i="14" s="1"/>
  <c r="M14" i="16"/>
  <c r="P14" i="16" s="1"/>
  <c r="K591" i="14"/>
  <c r="K628" i="14"/>
  <c r="K64" i="16"/>
  <c r="P70" i="16"/>
  <c r="J651" i="18"/>
  <c r="K651" i="18" s="1"/>
  <c r="K429" i="14"/>
  <c r="O437" i="14"/>
  <c r="K455" i="14"/>
  <c r="O535" i="14"/>
  <c r="K573" i="14"/>
  <c r="N55" i="16"/>
  <c r="N53" i="16" s="1"/>
  <c r="K591" i="18"/>
  <c r="K619" i="18"/>
  <c r="O383" i="14"/>
  <c r="O401" i="14"/>
  <c r="K426" i="14"/>
  <c r="K435" i="14"/>
  <c r="O455" i="14"/>
  <c r="K663" i="15"/>
  <c r="K668" i="15"/>
  <c r="L45" i="16"/>
  <c r="L43" i="16" s="1"/>
  <c r="K65" i="16"/>
  <c r="K396" i="16"/>
  <c r="K417" i="16"/>
  <c r="K421" i="16"/>
  <c r="K429" i="16"/>
  <c r="K455" i="16"/>
  <c r="K464" i="16"/>
  <c r="N55" i="17"/>
  <c r="N53" i="17" s="1"/>
  <c r="K466" i="4"/>
  <c r="K499" i="14"/>
  <c r="O580" i="14"/>
  <c r="K398" i="16"/>
  <c r="K402" i="16"/>
  <c r="K423" i="16"/>
  <c r="K431" i="16"/>
  <c r="O406" i="17"/>
  <c r="K419" i="17"/>
  <c r="O535" i="7"/>
  <c r="K564" i="7"/>
  <c r="K431" i="17"/>
  <c r="O435" i="17"/>
  <c r="O533" i="17"/>
  <c r="K560" i="17"/>
  <c r="N292" i="16"/>
  <c r="N290" i="16" s="1"/>
  <c r="K375" i="8"/>
  <c r="O383" i="8"/>
  <c r="L57" i="15"/>
  <c r="O57" i="15" s="1"/>
  <c r="K375" i="15"/>
  <c r="K481" i="15"/>
  <c r="K368" i="12"/>
  <c r="K376" i="12"/>
  <c r="K419" i="12"/>
  <c r="K423" i="12"/>
  <c r="K427" i="12"/>
  <c r="K431" i="12"/>
  <c r="N252" i="16"/>
  <c r="I367" i="13"/>
  <c r="K367" i="13" s="1"/>
  <c r="O49" i="4"/>
  <c r="N222" i="11"/>
  <c r="P222" i="11" s="1"/>
  <c r="K426" i="9"/>
  <c r="O564" i="15"/>
  <c r="L70" i="5"/>
  <c r="O70" i="5" s="1"/>
  <c r="O406" i="7"/>
  <c r="K597" i="7"/>
  <c r="O352" i="11"/>
  <c r="L459" i="1"/>
  <c r="L98" i="7"/>
  <c r="O98" i="7" s="1"/>
  <c r="K108" i="7"/>
  <c r="K112" i="7"/>
  <c r="L275" i="15"/>
  <c r="L273" i="15" s="1"/>
  <c r="N292" i="11"/>
  <c r="N290" i="11" s="1"/>
  <c r="K564" i="3"/>
  <c r="K573" i="3"/>
  <c r="K81" i="15"/>
  <c r="O568" i="15"/>
  <c r="O599" i="3"/>
  <c r="K65" i="8"/>
  <c r="O455" i="8"/>
  <c r="K597" i="4"/>
  <c r="J90" i="1"/>
  <c r="N120" i="8"/>
  <c r="K668" i="9"/>
  <c r="N96" i="11"/>
  <c r="N94" i="11" s="1"/>
  <c r="N120" i="12"/>
  <c r="P120" i="12" s="1"/>
  <c r="J282" i="1"/>
  <c r="J421" i="1"/>
  <c r="J447" i="1"/>
  <c r="K108" i="8"/>
  <c r="K401" i="10"/>
  <c r="K417" i="10"/>
  <c r="K381" i="5"/>
  <c r="K547" i="5"/>
  <c r="L224" i="9"/>
  <c r="K614" i="11"/>
  <c r="K455" i="12"/>
  <c r="K595" i="13"/>
  <c r="I422" i="1"/>
  <c r="I426" i="1"/>
  <c r="I430" i="1"/>
  <c r="I435" i="1"/>
  <c r="L455" i="1"/>
  <c r="I465" i="1"/>
  <c r="I473" i="1"/>
  <c r="I533" i="1"/>
  <c r="L599" i="1"/>
  <c r="J204" i="1"/>
  <c r="K418" i="2"/>
  <c r="I199" i="1"/>
  <c r="J367" i="1"/>
  <c r="J397" i="1"/>
  <c r="I328" i="1"/>
  <c r="J484" i="1"/>
  <c r="J500" i="1"/>
  <c r="N581" i="1"/>
  <c r="N586" i="1"/>
  <c r="J591" i="1"/>
  <c r="N603" i="1"/>
  <c r="J619" i="1"/>
  <c r="L226" i="1"/>
  <c r="J661" i="1"/>
  <c r="O74" i="10"/>
  <c r="N120" i="10"/>
  <c r="N118" i="10" s="1"/>
  <c r="J499" i="1"/>
  <c r="J577" i="1"/>
  <c r="K164" i="7"/>
  <c r="K597" i="12"/>
  <c r="K372" i="13"/>
  <c r="O533" i="13"/>
  <c r="K112" i="14"/>
  <c r="L224" i="14"/>
  <c r="O224" i="14" s="1"/>
  <c r="P122" i="15"/>
  <c r="K345" i="18"/>
  <c r="I158" i="1"/>
  <c r="N292" i="3"/>
  <c r="N290" i="3" s="1"/>
  <c r="N292" i="10"/>
  <c r="N290" i="10" s="1"/>
  <c r="N142" i="3"/>
  <c r="N140" i="3" s="1"/>
  <c r="K219" i="3"/>
  <c r="P224" i="3"/>
  <c r="N68" i="5"/>
  <c r="N66" i="5" s="1"/>
  <c r="K200" i="5"/>
  <c r="K427" i="5"/>
  <c r="K420" i="6"/>
  <c r="K424" i="6"/>
  <c r="K428" i="6"/>
  <c r="N68" i="7"/>
  <c r="N66" i="7" s="1"/>
  <c r="N292" i="9"/>
  <c r="N290" i="9" s="1"/>
  <c r="N331" i="9"/>
  <c r="N329" i="9" s="1"/>
  <c r="K424" i="11"/>
  <c r="O457" i="11"/>
  <c r="O597" i="11"/>
  <c r="O601" i="11"/>
  <c r="K631" i="11"/>
  <c r="K635" i="11"/>
  <c r="O566" i="12"/>
  <c r="L314" i="13"/>
  <c r="O314" i="13" s="1"/>
  <c r="O580" i="13"/>
  <c r="O584" i="13"/>
  <c r="P333" i="14"/>
  <c r="L102" i="1"/>
  <c r="I371" i="1"/>
  <c r="K371" i="1" s="1"/>
  <c r="L144" i="3"/>
  <c r="O144" i="3" s="1"/>
  <c r="J597" i="1"/>
  <c r="K593" i="8"/>
  <c r="L354" i="1"/>
  <c r="N435" i="1"/>
  <c r="J244" i="1"/>
  <c r="O439" i="10"/>
  <c r="K117" i="11"/>
  <c r="K340" i="11"/>
  <c r="L98" i="13"/>
  <c r="O98" i="13" s="1"/>
  <c r="K473" i="14"/>
  <c r="K416" i="18"/>
  <c r="J309" i="1"/>
  <c r="L258" i="1"/>
  <c r="O258" i="1" s="1"/>
  <c r="N61" i="1"/>
  <c r="J110" i="1"/>
  <c r="J372" i="1"/>
  <c r="J392" i="1"/>
  <c r="J423" i="1"/>
  <c r="N43" i="5"/>
  <c r="N41" i="5" s="1"/>
  <c r="N98" i="1"/>
  <c r="K591" i="5"/>
  <c r="K418" i="6"/>
  <c r="O649" i="6"/>
  <c r="K547" i="7"/>
  <c r="O597" i="7"/>
  <c r="O601" i="7"/>
  <c r="L33" i="8"/>
  <c r="O33" i="8" s="1"/>
  <c r="K420" i="9"/>
  <c r="K424" i="9"/>
  <c r="K428" i="9"/>
  <c r="K432" i="9"/>
  <c r="K630" i="9"/>
  <c r="K634" i="9"/>
  <c r="K416" i="10"/>
  <c r="K420" i="10"/>
  <c r="K422" i="11"/>
  <c r="K465" i="11"/>
  <c r="O383" i="12"/>
  <c r="K397" i="12"/>
  <c r="O401" i="12"/>
  <c r="K422" i="12"/>
  <c r="O455" i="12"/>
  <c r="K481" i="12"/>
  <c r="K629" i="12"/>
  <c r="K398" i="14"/>
  <c r="K423" i="14"/>
  <c r="K431" i="14"/>
  <c r="O435" i="14"/>
  <c r="O439" i="14"/>
  <c r="K630" i="14"/>
  <c r="O74" i="16"/>
  <c r="K81" i="16"/>
  <c r="K85" i="16"/>
  <c r="K397" i="16"/>
  <c r="L224" i="17"/>
  <c r="O224" i="17" s="1"/>
  <c r="K249" i="17"/>
  <c r="K264" i="17"/>
  <c r="K266" i="18"/>
  <c r="K324" i="18"/>
  <c r="J231" i="1"/>
  <c r="I340" i="1"/>
  <c r="K618" i="3"/>
  <c r="N460" i="1"/>
  <c r="J77" i="1"/>
  <c r="J92" i="1"/>
  <c r="J107" i="1"/>
  <c r="J111" i="1"/>
  <c r="L144" i="7"/>
  <c r="J174" i="1"/>
  <c r="K614" i="7"/>
  <c r="L122" i="8"/>
  <c r="L120" i="8" s="1"/>
  <c r="N298" i="1"/>
  <c r="J149" i="1"/>
  <c r="J171" i="1"/>
  <c r="J187" i="1"/>
  <c r="K345" i="17"/>
  <c r="N70" i="1"/>
  <c r="J79" i="1"/>
  <c r="J83" i="1"/>
  <c r="J87" i="1"/>
  <c r="J93" i="1"/>
  <c r="L124" i="1"/>
  <c r="J233" i="1"/>
  <c r="J324" i="1"/>
  <c r="J339" i="1"/>
  <c r="N347" i="1"/>
  <c r="N351" i="1"/>
  <c r="N356" i="1"/>
  <c r="I374" i="1"/>
  <c r="J378" i="1"/>
  <c r="N386" i="1"/>
  <c r="N442" i="1"/>
  <c r="I450" i="1"/>
  <c r="I524" i="1"/>
  <c r="N584" i="1"/>
  <c r="J590" i="1"/>
  <c r="K149" i="3"/>
  <c r="J232" i="1"/>
  <c r="I418" i="1"/>
  <c r="K189" i="4"/>
  <c r="K200" i="4"/>
  <c r="I216" i="1"/>
  <c r="L314" i="4"/>
  <c r="O314" i="4" s="1"/>
  <c r="I113" i="1"/>
  <c r="J172" i="1"/>
  <c r="N383" i="1"/>
  <c r="N405" i="1"/>
  <c r="J465" i="1"/>
  <c r="J579" i="1"/>
  <c r="N142" i="6"/>
  <c r="N140" i="6" s="1"/>
  <c r="K370" i="7"/>
  <c r="K617" i="8"/>
  <c r="O535" i="10"/>
  <c r="K110" i="12"/>
  <c r="K397" i="18"/>
  <c r="K422" i="18"/>
  <c r="K426" i="18"/>
  <c r="K430" i="18"/>
  <c r="K435" i="18"/>
  <c r="O455" i="18"/>
  <c r="O459" i="18"/>
  <c r="O582" i="18"/>
  <c r="K629" i="18"/>
  <c r="K633" i="18"/>
  <c r="L71" i="1"/>
  <c r="L100" i="1"/>
  <c r="J108" i="1"/>
  <c r="J112" i="1"/>
  <c r="J159" i="1"/>
  <c r="J170" i="1"/>
  <c r="J176" i="1"/>
  <c r="J186" i="1"/>
  <c r="J203" i="1"/>
  <c r="J219" i="1"/>
  <c r="J241" i="1"/>
  <c r="J249" i="1"/>
  <c r="L352" i="1"/>
  <c r="N357" i="1"/>
  <c r="N387" i="1"/>
  <c r="N410" i="1"/>
  <c r="J434" i="1"/>
  <c r="N437" i="1"/>
  <c r="N443" i="1"/>
  <c r="J450" i="1"/>
  <c r="J472" i="1"/>
  <c r="J480" i="1"/>
  <c r="J492" i="1"/>
  <c r="J496" i="1"/>
  <c r="J504" i="1"/>
  <c r="J548" i="1"/>
  <c r="J564" i="1"/>
  <c r="N567" i="1"/>
  <c r="J573" i="1"/>
  <c r="N648" i="1"/>
  <c r="N45" i="1"/>
  <c r="I497" i="1"/>
  <c r="I525" i="1"/>
  <c r="K622" i="3"/>
  <c r="J81" i="1"/>
  <c r="N273" i="13"/>
  <c r="P273" i="13" s="1"/>
  <c r="N292" i="13"/>
  <c r="N290" i="13" s="1"/>
  <c r="I484" i="1"/>
  <c r="K484" i="1" s="1"/>
  <c r="K368" i="3"/>
  <c r="K372" i="3"/>
  <c r="K419" i="3"/>
  <c r="K423" i="3"/>
  <c r="K431" i="3"/>
  <c r="J400" i="1"/>
  <c r="N403" i="1"/>
  <c r="J432" i="1"/>
  <c r="J503" i="1"/>
  <c r="J515" i="1"/>
  <c r="N539" i="1"/>
  <c r="J561" i="1"/>
  <c r="N566" i="1"/>
  <c r="J671" i="5"/>
  <c r="N96" i="6"/>
  <c r="N94" i="6" s="1"/>
  <c r="L122" i="6"/>
  <c r="L120" i="6" s="1"/>
  <c r="K618" i="6"/>
  <c r="K663" i="6"/>
  <c r="K80" i="7"/>
  <c r="L45" i="8"/>
  <c r="L43" i="8" s="1"/>
  <c r="L41" i="8" s="1"/>
  <c r="N55" i="8"/>
  <c r="N53" i="8" s="1"/>
  <c r="J671" i="10"/>
  <c r="K85" i="11"/>
  <c r="K229" i="11"/>
  <c r="L314" i="11"/>
  <c r="O314" i="11" s="1"/>
  <c r="K343" i="11"/>
  <c r="N96" i="13"/>
  <c r="N94" i="13" s="1"/>
  <c r="N252" i="15"/>
  <c r="N250" i="15" s="1"/>
  <c r="O385" i="15"/>
  <c r="K420" i="15"/>
  <c r="K424" i="15"/>
  <c r="K432" i="15"/>
  <c r="K449" i="15"/>
  <c r="L438" i="1"/>
  <c r="O438" i="1" s="1"/>
  <c r="J371" i="1"/>
  <c r="J375" i="1"/>
  <c r="N401" i="1"/>
  <c r="J426" i="1"/>
  <c r="N438" i="1"/>
  <c r="J446" i="1"/>
  <c r="N455" i="1"/>
  <c r="N459" i="1"/>
  <c r="N559" i="1"/>
  <c r="J615" i="1"/>
  <c r="J628" i="1"/>
  <c r="J164" i="1"/>
  <c r="J175" i="1"/>
  <c r="J671" i="9"/>
  <c r="I521" i="1"/>
  <c r="K622" i="16"/>
  <c r="L275" i="18"/>
  <c r="O275" i="18" s="1"/>
  <c r="N538" i="1"/>
  <c r="N314" i="1"/>
  <c r="J427" i="1"/>
  <c r="J666" i="1"/>
  <c r="J78" i="1"/>
  <c r="L72" i="1"/>
  <c r="I265" i="1"/>
  <c r="N57" i="1"/>
  <c r="K421" i="2"/>
  <c r="J594" i="1"/>
  <c r="N142" i="5"/>
  <c r="N140" i="5" s="1"/>
  <c r="P333" i="7"/>
  <c r="K340" i="7"/>
  <c r="K416" i="7"/>
  <c r="K420" i="7"/>
  <c r="K424" i="7"/>
  <c r="K428" i="7"/>
  <c r="K432" i="7"/>
  <c r="K432" i="10"/>
  <c r="N120" i="13"/>
  <c r="N118" i="13" s="1"/>
  <c r="P98" i="14"/>
  <c r="K132" i="15"/>
  <c r="J399" i="1"/>
  <c r="J415" i="1"/>
  <c r="J301" i="1"/>
  <c r="I204" i="1"/>
  <c r="J65" i="1"/>
  <c r="K429" i="2"/>
  <c r="N597" i="1"/>
  <c r="I349" i="1"/>
  <c r="I488" i="1"/>
  <c r="K488" i="1" s="1"/>
  <c r="I501" i="1"/>
  <c r="K501" i="1" s="1"/>
  <c r="I235" i="1"/>
  <c r="J242" i="1"/>
  <c r="L254" i="2"/>
  <c r="O254" i="2" s="1"/>
  <c r="J264" i="1"/>
  <c r="J283" i="1"/>
  <c r="N318" i="1"/>
  <c r="J326" i="1"/>
  <c r="N333" i="1"/>
  <c r="N388" i="1"/>
  <c r="K397" i="2"/>
  <c r="K649" i="4"/>
  <c r="J302" i="1"/>
  <c r="I516" i="1"/>
  <c r="I528" i="1"/>
  <c r="K267" i="8"/>
  <c r="K421" i="8"/>
  <c r="K429" i="8"/>
  <c r="L255" i="1"/>
  <c r="J268" i="1"/>
  <c r="L294" i="9"/>
  <c r="O294" i="9" s="1"/>
  <c r="J304" i="1"/>
  <c r="L314" i="10"/>
  <c r="O314" i="10" s="1"/>
  <c r="J453" i="1"/>
  <c r="N665" i="1"/>
  <c r="J470" i="1"/>
  <c r="I522" i="1"/>
  <c r="K158" i="16"/>
  <c r="I619" i="1"/>
  <c r="J502" i="1"/>
  <c r="J261" i="1"/>
  <c r="J617" i="1"/>
  <c r="I489" i="1"/>
  <c r="K489" i="1" s="1"/>
  <c r="J154" i="1"/>
  <c r="J182" i="1"/>
  <c r="L649" i="1"/>
  <c r="P70" i="6"/>
  <c r="K266" i="12"/>
  <c r="K343" i="12"/>
  <c r="O601" i="13"/>
  <c r="L294" i="16"/>
  <c r="L292" i="16" s="1"/>
  <c r="O292" i="16" s="1"/>
  <c r="O535" i="16"/>
  <c r="K591" i="16"/>
  <c r="K595" i="16"/>
  <c r="K663" i="16"/>
  <c r="K663" i="17"/>
  <c r="J478" i="1"/>
  <c r="J237" i="1"/>
  <c r="J452" i="1"/>
  <c r="L47" i="1"/>
  <c r="M144" i="1"/>
  <c r="J161" i="1"/>
  <c r="L405" i="1"/>
  <c r="O405" i="1" s="1"/>
  <c r="I476" i="1"/>
  <c r="K476" i="1" s="1"/>
  <c r="I492" i="1"/>
  <c r="K492" i="1" s="1"/>
  <c r="K235" i="3"/>
  <c r="N312" i="4"/>
  <c r="N310" i="4" s="1"/>
  <c r="L294" i="5"/>
  <c r="O294" i="5" s="1"/>
  <c r="K424" i="5"/>
  <c r="N68" i="6"/>
  <c r="N66" i="6" s="1"/>
  <c r="K349" i="9"/>
  <c r="O437" i="9"/>
  <c r="K219" i="11"/>
  <c r="N222" i="12"/>
  <c r="N220" i="12" s="1"/>
  <c r="K429" i="13"/>
  <c r="I367" i="18"/>
  <c r="K367" i="18" s="1"/>
  <c r="N337" i="1"/>
  <c r="I138" i="1"/>
  <c r="L148" i="1"/>
  <c r="J675" i="1"/>
  <c r="K611" i="6"/>
  <c r="K649" i="6"/>
  <c r="K81" i="7"/>
  <c r="N55" i="10"/>
  <c r="N53" i="10" s="1"/>
  <c r="J651" i="10"/>
  <c r="K267" i="12"/>
  <c r="L45" i="14"/>
  <c r="O45" i="14" s="1"/>
  <c r="N55" i="14"/>
  <c r="N53" i="14" s="1"/>
  <c r="N331" i="15"/>
  <c r="N329" i="15" s="1"/>
  <c r="K629" i="15"/>
  <c r="K465" i="16"/>
  <c r="K497" i="16"/>
  <c r="K628" i="17"/>
  <c r="K199" i="18"/>
  <c r="J266" i="1"/>
  <c r="J346" i="1"/>
  <c r="N380" i="1"/>
  <c r="J448" i="1"/>
  <c r="J613" i="1"/>
  <c r="L123" i="1"/>
  <c r="I215" i="1"/>
  <c r="I478" i="1"/>
  <c r="K478" i="1" s="1"/>
  <c r="I596" i="1"/>
  <c r="K596" i="1" s="1"/>
  <c r="K133" i="5"/>
  <c r="N312" i="7"/>
  <c r="N310" i="7" s="1"/>
  <c r="K474" i="8"/>
  <c r="O564" i="8"/>
  <c r="O401" i="13"/>
  <c r="K435" i="13"/>
  <c r="O459" i="13"/>
  <c r="P70" i="17"/>
  <c r="J189" i="1"/>
  <c r="J363" i="1"/>
  <c r="N439" i="1"/>
  <c r="L99" i="1"/>
  <c r="I477" i="1"/>
  <c r="K477" i="1" s="1"/>
  <c r="I496" i="1"/>
  <c r="K496" i="1" s="1"/>
  <c r="I480" i="1"/>
  <c r="K480" i="1" s="1"/>
  <c r="J195" i="1"/>
  <c r="N294" i="1"/>
  <c r="J369" i="1"/>
  <c r="J373" i="1"/>
  <c r="J377" i="1"/>
  <c r="J394" i="1"/>
  <c r="J495" i="1"/>
  <c r="J507" i="1"/>
  <c r="J511" i="1"/>
  <c r="J519" i="1"/>
  <c r="J523" i="1"/>
  <c r="N555" i="1"/>
  <c r="K370" i="3"/>
  <c r="L294" i="4"/>
  <c r="L292" i="4" s="1"/>
  <c r="O385" i="4"/>
  <c r="K416" i="4"/>
  <c r="K420" i="4"/>
  <c r="K428" i="4"/>
  <c r="K449" i="4"/>
  <c r="O551" i="4"/>
  <c r="O584" i="4"/>
  <c r="O597" i="4"/>
  <c r="O601" i="4"/>
  <c r="K422" i="5"/>
  <c r="K426" i="5"/>
  <c r="K533" i="5"/>
  <c r="O599" i="5"/>
  <c r="K629" i="5"/>
  <c r="K85" i="6"/>
  <c r="O439" i="7"/>
  <c r="K138" i="8"/>
  <c r="N142" i="10"/>
  <c r="N140" i="10" s="1"/>
  <c r="K200" i="10"/>
  <c r="K402" i="10"/>
  <c r="O406" i="10"/>
  <c r="O435" i="10"/>
  <c r="K648" i="11"/>
  <c r="N55" i="13"/>
  <c r="N53" i="13" s="1"/>
  <c r="K481" i="13"/>
  <c r="K465" i="14"/>
  <c r="K173" i="18"/>
  <c r="I83" i="1"/>
  <c r="J229" i="1"/>
  <c r="L298" i="1"/>
  <c r="O298" i="1" s="1"/>
  <c r="K369" i="9"/>
  <c r="I367" i="9"/>
  <c r="K367" i="9" s="1"/>
  <c r="I86" i="1"/>
  <c r="I213" i="1"/>
  <c r="I264" i="1"/>
  <c r="I397" i="1"/>
  <c r="I504" i="1"/>
  <c r="K504" i="1" s="1"/>
  <c r="L61" i="1"/>
  <c r="O61" i="1" s="1"/>
  <c r="I87" i="1"/>
  <c r="M122" i="1"/>
  <c r="I346" i="1"/>
  <c r="K346" i="1" s="1"/>
  <c r="I508" i="1"/>
  <c r="K508" i="1" s="1"/>
  <c r="K173" i="2"/>
  <c r="J184" i="1"/>
  <c r="J210" i="1"/>
  <c r="N222" i="13"/>
  <c r="N220" i="13" s="1"/>
  <c r="I512" i="1"/>
  <c r="K512" i="1" s="1"/>
  <c r="P294" i="5"/>
  <c r="M292" i="5"/>
  <c r="P292" i="5" s="1"/>
  <c r="M224" i="1"/>
  <c r="L382" i="1"/>
  <c r="O382" i="1" s="1"/>
  <c r="I500" i="1"/>
  <c r="K500" i="1" s="1"/>
  <c r="L536" i="1"/>
  <c r="O536" i="1" s="1"/>
  <c r="I592" i="1"/>
  <c r="K592" i="1" s="1"/>
  <c r="N407" i="1"/>
  <c r="I416" i="1"/>
  <c r="I420" i="1"/>
  <c r="I424" i="1"/>
  <c r="I428" i="1"/>
  <c r="I110" i="1"/>
  <c r="I92" i="1"/>
  <c r="L256" i="1"/>
  <c r="L296" i="1"/>
  <c r="I671" i="1"/>
  <c r="J287" i="1"/>
  <c r="L314" i="2"/>
  <c r="O314" i="2" s="1"/>
  <c r="I324" i="1"/>
  <c r="J364" i="1"/>
  <c r="J343" i="1"/>
  <c r="J527" i="1"/>
  <c r="J531" i="1"/>
  <c r="N534" i="1"/>
  <c r="J547" i="1"/>
  <c r="N551" i="1"/>
  <c r="J608" i="1"/>
  <c r="J625" i="1"/>
  <c r="J630" i="1"/>
  <c r="J648" i="1"/>
  <c r="J655" i="1"/>
  <c r="N661" i="1"/>
  <c r="I381" i="1"/>
  <c r="J393" i="1"/>
  <c r="J466" i="1"/>
  <c r="N540" i="1"/>
  <c r="N556" i="1"/>
  <c r="I595" i="1"/>
  <c r="I615" i="1"/>
  <c r="I623" i="1"/>
  <c r="I628" i="1"/>
  <c r="I632" i="1"/>
  <c r="N650" i="1"/>
  <c r="J651" i="3"/>
  <c r="J80" i="1"/>
  <c r="N102" i="1"/>
  <c r="J113" i="1"/>
  <c r="J128" i="1"/>
  <c r="J134" i="1"/>
  <c r="K149" i="4"/>
  <c r="J129" i="1"/>
  <c r="J155" i="1"/>
  <c r="J162" i="1"/>
  <c r="I173" i="1"/>
  <c r="J209" i="1"/>
  <c r="N228" i="1"/>
  <c r="N258" i="1"/>
  <c r="J270" i="1"/>
  <c r="L277" i="1"/>
  <c r="J322" i="1"/>
  <c r="J379" i="1"/>
  <c r="N382" i="1"/>
  <c r="I401" i="1"/>
  <c r="L404" i="1"/>
  <c r="N409" i="1"/>
  <c r="J420" i="1"/>
  <c r="J428" i="1"/>
  <c r="N436" i="1"/>
  <c r="N441" i="1"/>
  <c r="J449" i="1"/>
  <c r="J454" i="1"/>
  <c r="N457" i="1"/>
  <c r="N463" i="1"/>
  <c r="J471" i="1"/>
  <c r="N292" i="6"/>
  <c r="N290" i="6" s="1"/>
  <c r="L314" i="6"/>
  <c r="O314" i="6" s="1"/>
  <c r="J320" i="1"/>
  <c r="N408" i="1"/>
  <c r="K113" i="8"/>
  <c r="J497" i="1"/>
  <c r="K497" i="1" s="1"/>
  <c r="N651" i="1"/>
  <c r="N668" i="1"/>
  <c r="J482" i="1"/>
  <c r="N142" i="13"/>
  <c r="N140" i="13" s="1"/>
  <c r="L146" i="1"/>
  <c r="I164" i="1"/>
  <c r="J217" i="1"/>
  <c r="I229" i="1"/>
  <c r="J260" i="1"/>
  <c r="J286" i="1"/>
  <c r="N564" i="1"/>
  <c r="N568" i="1"/>
  <c r="J646" i="1"/>
  <c r="K164" i="17"/>
  <c r="K267" i="17"/>
  <c r="K396" i="17"/>
  <c r="K401" i="17"/>
  <c r="L597" i="1"/>
  <c r="L671" i="1"/>
  <c r="O347" i="3"/>
  <c r="K204" i="4"/>
  <c r="K341" i="4"/>
  <c r="K397" i="4"/>
  <c r="O401" i="4"/>
  <c r="K422" i="4"/>
  <c r="K435" i="4"/>
  <c r="K533" i="4"/>
  <c r="O553" i="4"/>
  <c r="O582" i="4"/>
  <c r="J663" i="1"/>
  <c r="K229" i="5"/>
  <c r="K65" i="6"/>
  <c r="K133" i="6"/>
  <c r="N55" i="7"/>
  <c r="P55" i="7" s="1"/>
  <c r="K65" i="7"/>
  <c r="K464" i="7"/>
  <c r="K628" i="8"/>
  <c r="K632" i="8"/>
  <c r="L70" i="9"/>
  <c r="O70" i="9" s="1"/>
  <c r="K372" i="9"/>
  <c r="L254" i="10"/>
  <c r="O254" i="10" s="1"/>
  <c r="K474" i="10"/>
  <c r="L45" i="11"/>
  <c r="L43" i="11" s="1"/>
  <c r="N292" i="12"/>
  <c r="N290" i="12" s="1"/>
  <c r="K450" i="12"/>
  <c r="K499" i="12"/>
  <c r="K497" i="14"/>
  <c r="N55" i="15"/>
  <c r="P55" i="15" s="1"/>
  <c r="K376" i="15"/>
  <c r="O406" i="15"/>
  <c r="K423" i="15"/>
  <c r="K427" i="15"/>
  <c r="O435" i="15"/>
  <c r="K466" i="15"/>
  <c r="K482" i="15"/>
  <c r="K597" i="15"/>
  <c r="K630" i="15"/>
  <c r="O533" i="16"/>
  <c r="K580" i="16"/>
  <c r="K417" i="17"/>
  <c r="O535" i="17"/>
  <c r="K573" i="17"/>
  <c r="N331" i="18"/>
  <c r="N329" i="18" s="1"/>
  <c r="K349" i="18"/>
  <c r="K421" i="18"/>
  <c r="J306" i="1"/>
  <c r="J543" i="1"/>
  <c r="J549" i="1"/>
  <c r="L553" i="1"/>
  <c r="N558" i="1"/>
  <c r="I575" i="1"/>
  <c r="K575" i="1" s="1"/>
  <c r="N254" i="1"/>
  <c r="J263" i="1"/>
  <c r="J289" i="1"/>
  <c r="L295" i="1"/>
  <c r="J325" i="1"/>
  <c r="I506" i="1"/>
  <c r="K506" i="1" s="1"/>
  <c r="J345" i="1"/>
  <c r="N349" i="1"/>
  <c r="N353" i="1"/>
  <c r="I376" i="1"/>
  <c r="J391" i="1"/>
  <c r="I402" i="1"/>
  <c r="L406" i="1"/>
  <c r="I423" i="1"/>
  <c r="I427" i="1"/>
  <c r="L435" i="1"/>
  <c r="O435" i="1" s="1"/>
  <c r="I474" i="1"/>
  <c r="I482" i="1"/>
  <c r="I518" i="1"/>
  <c r="I530" i="1"/>
  <c r="J545" i="1"/>
  <c r="I613" i="1"/>
  <c r="K430" i="5"/>
  <c r="K113" i="6"/>
  <c r="K173" i="7"/>
  <c r="K200" i="7"/>
  <c r="K229" i="7"/>
  <c r="K451" i="7"/>
  <c r="K631" i="7"/>
  <c r="K620" i="9"/>
  <c r="O551" i="10"/>
  <c r="O555" i="10"/>
  <c r="K229" i="13"/>
  <c r="O455" i="13"/>
  <c r="K200" i="14"/>
  <c r="K133" i="15"/>
  <c r="K635" i="15"/>
  <c r="L314" i="16"/>
  <c r="O314" i="16" s="1"/>
  <c r="O661" i="16"/>
  <c r="K92" i="18"/>
  <c r="K110" i="18"/>
  <c r="N273" i="18"/>
  <c r="N271" i="18" s="1"/>
  <c r="J341" i="1"/>
  <c r="J422" i="1"/>
  <c r="J430" i="1"/>
  <c r="K430" i="1" s="1"/>
  <c r="J435" i="1"/>
  <c r="J451" i="1"/>
  <c r="O455" i="2"/>
  <c r="J469" i="1"/>
  <c r="I579" i="1"/>
  <c r="K579" i="1" s="1"/>
  <c r="N587" i="1"/>
  <c r="J632" i="1"/>
  <c r="J649" i="1"/>
  <c r="J659" i="1"/>
  <c r="J673" i="1"/>
  <c r="K92" i="4"/>
  <c r="L122" i="4"/>
  <c r="L120" i="4" s="1"/>
  <c r="L118" i="4" s="1"/>
  <c r="O118" i="4" s="1"/>
  <c r="N292" i="4"/>
  <c r="N290" i="4" s="1"/>
  <c r="O354" i="4"/>
  <c r="K341" i="6"/>
  <c r="P98" i="8"/>
  <c r="O537" i="8"/>
  <c r="K435" i="10"/>
  <c r="K465" i="12"/>
  <c r="K343" i="15"/>
  <c r="O349" i="17"/>
  <c r="N34" i="17"/>
  <c r="N14" i="17" s="1"/>
  <c r="K497" i="17"/>
  <c r="N604" i="1"/>
  <c r="I612" i="1"/>
  <c r="I620" i="1"/>
  <c r="J183" i="1"/>
  <c r="K199" i="3"/>
  <c r="J215" i="1"/>
  <c r="O537" i="3"/>
  <c r="J281" i="1"/>
  <c r="K474" i="5"/>
  <c r="K482" i="5"/>
  <c r="K628" i="7"/>
  <c r="N96" i="10"/>
  <c r="N94" i="10" s="1"/>
  <c r="K631" i="10"/>
  <c r="K186" i="11"/>
  <c r="K249" i="11"/>
  <c r="L254" i="11"/>
  <c r="O254" i="11" s="1"/>
  <c r="K573" i="12"/>
  <c r="N68" i="13"/>
  <c r="N66" i="13" s="1"/>
  <c r="J671" i="14"/>
  <c r="P144" i="15"/>
  <c r="N273" i="15"/>
  <c r="N271" i="15" s="1"/>
  <c r="K350" i="18"/>
  <c r="O354" i="18"/>
  <c r="O380" i="18"/>
  <c r="J474" i="1"/>
  <c r="J616" i="1"/>
  <c r="J624" i="1"/>
  <c r="K624" i="1" s="1"/>
  <c r="J629" i="1"/>
  <c r="J647" i="1"/>
  <c r="J652" i="1"/>
  <c r="N74" i="1"/>
  <c r="J85" i="1"/>
  <c r="J115" i="1"/>
  <c r="N122" i="1"/>
  <c r="J131" i="1"/>
  <c r="J488" i="1"/>
  <c r="O597" i="3"/>
  <c r="O601" i="3"/>
  <c r="K635" i="3"/>
  <c r="L45" i="4"/>
  <c r="O45" i="4" s="1"/>
  <c r="J212" i="1"/>
  <c r="N224" i="1"/>
  <c r="J238" i="1"/>
  <c r="N252" i="4"/>
  <c r="N250" i="4" s="1"/>
  <c r="K92" i="6"/>
  <c r="K189" i="6"/>
  <c r="O354" i="6"/>
  <c r="O380" i="6"/>
  <c r="K498" i="6"/>
  <c r="K634" i="6"/>
  <c r="N68" i="8"/>
  <c r="P68" i="8" s="1"/>
  <c r="K213" i="8"/>
  <c r="O455" i="9"/>
  <c r="O459" i="9"/>
  <c r="N312" i="10"/>
  <c r="N310" i="10" s="1"/>
  <c r="L275" i="12"/>
  <c r="O275" i="12" s="1"/>
  <c r="K350" i="12"/>
  <c r="K450" i="15"/>
  <c r="L254" i="16"/>
  <c r="O254" i="16" s="1"/>
  <c r="N331" i="16"/>
  <c r="N329" i="16" s="1"/>
  <c r="N120" i="17"/>
  <c r="N118" i="17" s="1"/>
  <c r="N331" i="17"/>
  <c r="N329" i="17" s="1"/>
  <c r="K381" i="17"/>
  <c r="I432" i="1"/>
  <c r="N440" i="1"/>
  <c r="I449" i="1"/>
  <c r="L457" i="1"/>
  <c r="I527" i="1"/>
  <c r="I547" i="1"/>
  <c r="L551" i="1"/>
  <c r="L555" i="1"/>
  <c r="O566" i="2"/>
  <c r="N571" i="1"/>
  <c r="J670" i="1"/>
  <c r="J676" i="1"/>
  <c r="K473" i="3"/>
  <c r="N142" i="4"/>
  <c r="N140" i="4" s="1"/>
  <c r="J158" i="1"/>
  <c r="K158" i="1" s="1"/>
  <c r="I176" i="1"/>
  <c r="K186" i="4"/>
  <c r="K219" i="4"/>
  <c r="K564" i="4"/>
  <c r="K632" i="4"/>
  <c r="K564" i="9"/>
  <c r="K663" i="9"/>
  <c r="O568" i="10"/>
  <c r="K265" i="11"/>
  <c r="K111" i="12"/>
  <c r="K111" i="14"/>
  <c r="K219" i="14"/>
  <c r="N222" i="15"/>
  <c r="K633" i="15"/>
  <c r="J671" i="15"/>
  <c r="K671" i="15" s="1"/>
  <c r="N26" i="16"/>
  <c r="N16" i="16" s="1"/>
  <c r="N68" i="17"/>
  <c r="N66" i="17" s="1"/>
  <c r="L122" i="17"/>
  <c r="L120" i="17" s="1"/>
  <c r="K631" i="17"/>
  <c r="K108" i="18"/>
  <c r="K428" i="18"/>
  <c r="O457" i="18"/>
  <c r="L49" i="1"/>
  <c r="I485" i="1"/>
  <c r="K485" i="1" s="1"/>
  <c r="I503" i="1"/>
  <c r="K503" i="1" s="1"/>
  <c r="I513" i="1"/>
  <c r="K513" i="1" s="1"/>
  <c r="I594" i="1"/>
  <c r="K594" i="1" s="1"/>
  <c r="I611" i="1"/>
  <c r="K616" i="1" s="1"/>
  <c r="K424" i="2"/>
  <c r="K428" i="2"/>
  <c r="K432" i="2"/>
  <c r="O457" i="2"/>
  <c r="J467" i="1"/>
  <c r="J475" i="1"/>
  <c r="J487" i="1"/>
  <c r="J491" i="1"/>
  <c r="I577" i="1"/>
  <c r="K577" i="1" s="1"/>
  <c r="L580" i="1"/>
  <c r="L584" i="1"/>
  <c r="N462" i="1"/>
  <c r="K176" i="4"/>
  <c r="O380" i="4"/>
  <c r="N33" i="4"/>
  <c r="N13" i="4" s="1"/>
  <c r="J518" i="1"/>
  <c r="J526" i="1"/>
  <c r="J530" i="1"/>
  <c r="N537" i="1"/>
  <c r="J576" i="1"/>
  <c r="J580" i="1"/>
  <c r="N583" i="1"/>
  <c r="K173" i="5"/>
  <c r="K450" i="6"/>
  <c r="K464" i="6"/>
  <c r="I342" i="1"/>
  <c r="K342" i="1" s="1"/>
  <c r="I479" i="1"/>
  <c r="K479" i="1" s="1"/>
  <c r="I486" i="1"/>
  <c r="K486" i="1" s="1"/>
  <c r="J109" i="1"/>
  <c r="K235" i="2"/>
  <c r="O535" i="2"/>
  <c r="K482" i="3"/>
  <c r="K506" i="3"/>
  <c r="K110" i="4"/>
  <c r="M57" i="1"/>
  <c r="M55" i="1" s="1"/>
  <c r="M53" i="1" s="1"/>
  <c r="L74" i="1"/>
  <c r="I111" i="1"/>
  <c r="I84" i="1"/>
  <c r="I266" i="1"/>
  <c r="I373" i="1"/>
  <c r="K373" i="1" s="1"/>
  <c r="I514" i="1"/>
  <c r="K514" i="1" s="1"/>
  <c r="L583" i="1"/>
  <c r="O583" i="1" s="1"/>
  <c r="N585" i="1"/>
  <c r="L601" i="1"/>
  <c r="J609" i="1"/>
  <c r="I614" i="1"/>
  <c r="I626" i="1"/>
  <c r="I631" i="1"/>
  <c r="I64" i="1"/>
  <c r="J211" i="1"/>
  <c r="L275" i="3"/>
  <c r="O275" i="3" s="1"/>
  <c r="K341" i="3"/>
  <c r="J349" i="1"/>
  <c r="N358" i="1"/>
  <c r="K455" i="3"/>
  <c r="K464" i="3"/>
  <c r="J671" i="3"/>
  <c r="P98" i="4"/>
  <c r="J106" i="1"/>
  <c r="K111" i="4"/>
  <c r="N120" i="4"/>
  <c r="N118" i="4" s="1"/>
  <c r="N55" i="5"/>
  <c r="N53" i="5" s="1"/>
  <c r="L122" i="5"/>
  <c r="O122" i="5" s="1"/>
  <c r="K380" i="6"/>
  <c r="K397" i="6"/>
  <c r="I304" i="1"/>
  <c r="I466" i="1"/>
  <c r="J473" i="1"/>
  <c r="L144" i="2"/>
  <c r="O144" i="2" s="1"/>
  <c r="J163" i="1"/>
  <c r="J236" i="1"/>
  <c r="N273" i="2"/>
  <c r="N271" i="2" s="1"/>
  <c r="N292" i="2"/>
  <c r="K328" i="2"/>
  <c r="N671" i="1"/>
  <c r="I617" i="1"/>
  <c r="I621" i="1"/>
  <c r="I625" i="1"/>
  <c r="I634" i="1"/>
  <c r="N649" i="1"/>
  <c r="I455" i="1"/>
  <c r="N96" i="5"/>
  <c r="N94" i="5" s="1"/>
  <c r="M96" i="10"/>
  <c r="P96" i="10" s="1"/>
  <c r="P98" i="10"/>
  <c r="P314" i="13"/>
  <c r="M312" i="13"/>
  <c r="M310" i="13" s="1"/>
  <c r="P310" i="13" s="1"/>
  <c r="I201" i="1"/>
  <c r="I369" i="1"/>
  <c r="L436" i="1"/>
  <c r="O436" i="1" s="1"/>
  <c r="I573" i="1"/>
  <c r="J157" i="1"/>
  <c r="J194" i="1"/>
  <c r="L380" i="1"/>
  <c r="J477" i="1"/>
  <c r="J481" i="1"/>
  <c r="J485" i="1"/>
  <c r="J489" i="1"/>
  <c r="J493" i="1"/>
  <c r="J501" i="1"/>
  <c r="J505" i="1"/>
  <c r="J509" i="1"/>
  <c r="J513" i="1"/>
  <c r="J517" i="1"/>
  <c r="J521" i="1"/>
  <c r="J525" i="1"/>
  <c r="J529" i="1"/>
  <c r="J533" i="1"/>
  <c r="N536" i="1"/>
  <c r="N553" i="1"/>
  <c r="K619" i="2"/>
  <c r="J668" i="1"/>
  <c r="K109" i="3"/>
  <c r="K113" i="3"/>
  <c r="O455" i="3"/>
  <c r="O459" i="3"/>
  <c r="I519" i="1"/>
  <c r="I531" i="1"/>
  <c r="J546" i="1"/>
  <c r="N554" i="1"/>
  <c r="N43" i="4"/>
  <c r="N41" i="4" s="1"/>
  <c r="L98" i="4"/>
  <c r="L144" i="4"/>
  <c r="O144" i="4" s="1"/>
  <c r="N331" i="4"/>
  <c r="N329" i="4" s="1"/>
  <c r="K349" i="4"/>
  <c r="K265" i="6"/>
  <c r="L275" i="6"/>
  <c r="O275" i="6" s="1"/>
  <c r="K285" i="6"/>
  <c r="J321" i="1"/>
  <c r="J328" i="1"/>
  <c r="N292" i="7"/>
  <c r="N290" i="7" s="1"/>
  <c r="P98" i="15"/>
  <c r="M96" i="15"/>
  <c r="P96" i="15" s="1"/>
  <c r="I80" i="1"/>
  <c r="N144" i="1"/>
  <c r="I185" i="1"/>
  <c r="M254" i="1"/>
  <c r="L279" i="1"/>
  <c r="O279" i="1" s="1"/>
  <c r="I306" i="1"/>
  <c r="I452" i="1"/>
  <c r="K452" i="1" s="1"/>
  <c r="I467" i="1"/>
  <c r="K467" i="1" s="1"/>
  <c r="I509" i="1"/>
  <c r="K509" i="1" s="1"/>
  <c r="L554" i="1"/>
  <c r="O554" i="1" s="1"/>
  <c r="I590" i="1"/>
  <c r="K590" i="1" s="1"/>
  <c r="L598" i="1"/>
  <c r="O598" i="1" s="1"/>
  <c r="J414" i="1"/>
  <c r="N588" i="1"/>
  <c r="M337" i="6"/>
  <c r="M331" i="6" s="1"/>
  <c r="M329" i="6" s="1"/>
  <c r="O337" i="6"/>
  <c r="J494" i="1"/>
  <c r="J506" i="1"/>
  <c r="M120" i="9"/>
  <c r="P120" i="9" s="1"/>
  <c r="P122" i="9"/>
  <c r="I186" i="1"/>
  <c r="K186" i="1" s="1"/>
  <c r="I244" i="1"/>
  <c r="K244" i="1" s="1"/>
  <c r="L315" i="1"/>
  <c r="J370" i="1"/>
  <c r="L384" i="1"/>
  <c r="O384" i="1" s="1"/>
  <c r="J416" i="1"/>
  <c r="I470" i="1"/>
  <c r="K470" i="1" s="1"/>
  <c r="I494" i="1"/>
  <c r="K494" i="1" s="1"/>
  <c r="I510" i="1"/>
  <c r="K510" i="1" s="1"/>
  <c r="L45" i="2"/>
  <c r="L43" i="2" s="1"/>
  <c r="L41" i="2" s="1"/>
  <c r="L98" i="2"/>
  <c r="O98" i="2" s="1"/>
  <c r="N148" i="1"/>
  <c r="P148" i="1" s="1"/>
  <c r="N222" i="2"/>
  <c r="P222" i="2" s="1"/>
  <c r="J246" i="1"/>
  <c r="N312" i="2"/>
  <c r="N310" i="2" s="1"/>
  <c r="N456" i="1"/>
  <c r="N461" i="1"/>
  <c r="K580" i="2"/>
  <c r="I589" i="1"/>
  <c r="J592" i="1"/>
  <c r="J596" i="1"/>
  <c r="N599" i="1"/>
  <c r="I633" i="1"/>
  <c r="J660" i="1"/>
  <c r="L57" i="3"/>
  <c r="O57" i="3" s="1"/>
  <c r="K81" i="3"/>
  <c r="O354" i="3"/>
  <c r="K497" i="3"/>
  <c r="K65" i="4"/>
  <c r="K80" i="4"/>
  <c r="K109" i="4"/>
  <c r="K158" i="4"/>
  <c r="K164" i="4"/>
  <c r="K185" i="4"/>
  <c r="K309" i="4"/>
  <c r="O455" i="4"/>
  <c r="K663" i="4"/>
  <c r="O102" i="5"/>
  <c r="K420" i="8"/>
  <c r="K424" i="8"/>
  <c r="K482" i="10"/>
  <c r="O582" i="10"/>
  <c r="K350" i="13"/>
  <c r="O668" i="15"/>
  <c r="K629" i="16"/>
  <c r="K547" i="18"/>
  <c r="O580" i="18"/>
  <c r="K635" i="18"/>
  <c r="P122" i="5"/>
  <c r="K164" i="5"/>
  <c r="J656" i="1"/>
  <c r="L45" i="6"/>
  <c r="O45" i="6" s="1"/>
  <c r="K112" i="6"/>
  <c r="N312" i="6"/>
  <c r="N310" i="6" s="1"/>
  <c r="K430" i="6"/>
  <c r="K435" i="6"/>
  <c r="O459" i="6"/>
  <c r="K270" i="7"/>
  <c r="O337" i="7"/>
  <c r="K397" i="7"/>
  <c r="N142" i="8"/>
  <c r="N140" i="8" s="1"/>
  <c r="K158" i="8"/>
  <c r="N222" i="8"/>
  <c r="N220" i="8" s="1"/>
  <c r="K455" i="8"/>
  <c r="N96" i="9"/>
  <c r="N94" i="9" s="1"/>
  <c r="P144" i="9"/>
  <c r="O537" i="9"/>
  <c r="K133" i="11"/>
  <c r="K149" i="11"/>
  <c r="L45" i="12"/>
  <c r="L43" i="12" s="1"/>
  <c r="L41" i="12" s="1"/>
  <c r="P224" i="12"/>
  <c r="M292" i="12"/>
  <c r="P292" i="12" s="1"/>
  <c r="K345" i="14"/>
  <c r="O349" i="14"/>
  <c r="L98" i="15"/>
  <c r="L96" i="15" s="1"/>
  <c r="O96" i="15" s="1"/>
  <c r="K213" i="15"/>
  <c r="O401" i="15"/>
  <c r="K473" i="15"/>
  <c r="P96" i="16"/>
  <c r="K377" i="16"/>
  <c r="K416" i="16"/>
  <c r="O457" i="16"/>
  <c r="K589" i="16"/>
  <c r="M140" i="17"/>
  <c r="L314" i="17"/>
  <c r="L312" i="17" s="1"/>
  <c r="K343" i="17"/>
  <c r="N43" i="18"/>
  <c r="N41" i="18" s="1"/>
  <c r="K668" i="18"/>
  <c r="K158" i="5"/>
  <c r="O455" i="5"/>
  <c r="O459" i="5"/>
  <c r="J610" i="1"/>
  <c r="J622" i="1"/>
  <c r="J635" i="1"/>
  <c r="J671" i="6"/>
  <c r="P224" i="7"/>
  <c r="J671" i="7"/>
  <c r="K580" i="8"/>
  <c r="L144" i="9"/>
  <c r="O144" i="9" s="1"/>
  <c r="O352" i="9"/>
  <c r="K370" i="9"/>
  <c r="K401" i="9"/>
  <c r="K547" i="9"/>
  <c r="O599" i="9"/>
  <c r="J651" i="9"/>
  <c r="K651" i="9" s="1"/>
  <c r="K149" i="10"/>
  <c r="K343" i="10"/>
  <c r="K616" i="10"/>
  <c r="L294" i="13"/>
  <c r="O294" i="13" s="1"/>
  <c r="K416" i="13"/>
  <c r="K533" i="13"/>
  <c r="O564" i="13"/>
  <c r="O568" i="13"/>
  <c r="K650" i="15"/>
  <c r="O566" i="16"/>
  <c r="O580" i="16"/>
  <c r="O597" i="16"/>
  <c r="K133" i="17"/>
  <c r="N292" i="17"/>
  <c r="N290" i="17" s="1"/>
  <c r="J671" i="17"/>
  <c r="K65" i="18"/>
  <c r="K427" i="18"/>
  <c r="O535" i="18"/>
  <c r="N222" i="5"/>
  <c r="N220" i="5" s="1"/>
  <c r="O347" i="5"/>
  <c r="N34" i="5"/>
  <c r="N14" i="5" s="1"/>
  <c r="K402" i="5"/>
  <c r="O406" i="5"/>
  <c r="J508" i="1"/>
  <c r="J512" i="1"/>
  <c r="J520" i="1"/>
  <c r="J524" i="1"/>
  <c r="J532" i="1"/>
  <c r="K619" i="5"/>
  <c r="L294" i="6"/>
  <c r="O294" i="6" s="1"/>
  <c r="K431" i="6"/>
  <c r="N222" i="7"/>
  <c r="N220" i="7" s="1"/>
  <c r="K402" i="7"/>
  <c r="K418" i="7"/>
  <c r="K422" i="7"/>
  <c r="K426" i="7"/>
  <c r="K430" i="7"/>
  <c r="K328" i="8"/>
  <c r="K630" i="8"/>
  <c r="K634" i="10"/>
  <c r="K370" i="11"/>
  <c r="K401" i="11"/>
  <c r="K564" i="11"/>
  <c r="N55" i="12"/>
  <c r="N53" i="12" s="1"/>
  <c r="K113" i="12"/>
  <c r="K149" i="12"/>
  <c r="P254" i="12"/>
  <c r="K564" i="12"/>
  <c r="K589" i="13"/>
  <c r="K597" i="13"/>
  <c r="K634" i="13"/>
  <c r="N312" i="14"/>
  <c r="N310" i="14" s="1"/>
  <c r="K65" i="15"/>
  <c r="K117" i="16"/>
  <c r="K109" i="17"/>
  <c r="K113" i="17"/>
  <c r="K499" i="17"/>
  <c r="O650" i="17"/>
  <c r="K424" i="18"/>
  <c r="P333" i="6"/>
  <c r="K416" i="6"/>
  <c r="O651" i="6"/>
  <c r="K665" i="6"/>
  <c r="K213" i="7"/>
  <c r="O564" i="7"/>
  <c r="K591" i="7"/>
  <c r="K82" i="8"/>
  <c r="K235" i="8"/>
  <c r="L275" i="8"/>
  <c r="L273" i="8" s="1"/>
  <c r="K368" i="8"/>
  <c r="K481" i="8"/>
  <c r="O566" i="8"/>
  <c r="K381" i="10"/>
  <c r="K398" i="10"/>
  <c r="N142" i="11"/>
  <c r="N140" i="11" s="1"/>
  <c r="J651" i="11"/>
  <c r="K176" i="17"/>
  <c r="K109" i="5"/>
  <c r="L254" i="5"/>
  <c r="O254" i="5" s="1"/>
  <c r="P333" i="5"/>
  <c r="K416" i="5"/>
  <c r="L314" i="9"/>
  <c r="O314" i="9" s="1"/>
  <c r="K573" i="10"/>
  <c r="K635" i="10"/>
  <c r="K173" i="11"/>
  <c r="K189" i="11"/>
  <c r="K591" i="11"/>
  <c r="O385" i="12"/>
  <c r="J671" i="13"/>
  <c r="K343" i="14"/>
  <c r="K614" i="15"/>
  <c r="K132" i="16"/>
  <c r="L144" i="16"/>
  <c r="L142" i="16" s="1"/>
  <c r="L140" i="16" s="1"/>
  <c r="N222" i="16"/>
  <c r="N220" i="16" s="1"/>
  <c r="P275" i="16"/>
  <c r="K418" i="16"/>
  <c r="K481" i="16"/>
  <c r="K380" i="17"/>
  <c r="K429" i="17"/>
  <c r="L294" i="18"/>
  <c r="O294" i="18" s="1"/>
  <c r="K270" i="5"/>
  <c r="K285" i="5"/>
  <c r="K432" i="5"/>
  <c r="K449" i="5"/>
  <c r="O457" i="5"/>
  <c r="J490" i="1"/>
  <c r="P122" i="6"/>
  <c r="K199" i="6"/>
  <c r="K432" i="6"/>
  <c r="K482" i="6"/>
  <c r="O537" i="6"/>
  <c r="L45" i="7"/>
  <c r="O45" i="7" s="1"/>
  <c r="O582" i="7"/>
  <c r="O599" i="7"/>
  <c r="K83" i="8"/>
  <c r="L144" i="8"/>
  <c r="O144" i="8" s="1"/>
  <c r="K377" i="8"/>
  <c r="O385" i="8"/>
  <c r="L98" i="9"/>
  <c r="O98" i="9" s="1"/>
  <c r="O406" i="9"/>
  <c r="O439" i="9"/>
  <c r="K466" i="9"/>
  <c r="K270" i="10"/>
  <c r="L333" i="10"/>
  <c r="L331" i="10" s="1"/>
  <c r="N120" i="11"/>
  <c r="N118" i="11" s="1"/>
  <c r="K185" i="11"/>
  <c r="K402" i="11"/>
  <c r="K466" i="11"/>
  <c r="K498" i="11"/>
  <c r="O533" i="11"/>
  <c r="O537" i="11"/>
  <c r="O599" i="11"/>
  <c r="K629" i="11"/>
  <c r="K665" i="11"/>
  <c r="K189" i="12"/>
  <c r="K264" i="12"/>
  <c r="L294" i="12"/>
  <c r="L292" i="12" s="1"/>
  <c r="O533" i="12"/>
  <c r="O537" i="12"/>
  <c r="O564" i="12"/>
  <c r="L70" i="14"/>
  <c r="O70" i="14" s="1"/>
  <c r="K466" i="14"/>
  <c r="K481" i="14"/>
  <c r="K533" i="14"/>
  <c r="O568" i="14"/>
  <c r="O582" i="14"/>
  <c r="K82" i="15"/>
  <c r="K340" i="15"/>
  <c r="K396" i="15"/>
  <c r="O404" i="15"/>
  <c r="K417" i="15"/>
  <c r="K421" i="15"/>
  <c r="K564" i="15"/>
  <c r="K632" i="15"/>
  <c r="K229" i="16"/>
  <c r="K368" i="16"/>
  <c r="K372" i="16"/>
  <c r="O582" i="16"/>
  <c r="P45" i="17"/>
  <c r="K398" i="17"/>
  <c r="K402" i="17"/>
  <c r="K435" i="17"/>
  <c r="O455" i="17"/>
  <c r="K113" i="18"/>
  <c r="I468" i="1"/>
  <c r="K468" i="1" s="1"/>
  <c r="P314" i="3"/>
  <c r="M312" i="3"/>
  <c r="P312" i="3" s="1"/>
  <c r="K576" i="3"/>
  <c r="I576" i="1"/>
  <c r="K576" i="1" s="1"/>
  <c r="K593" i="3"/>
  <c r="I593" i="1"/>
  <c r="O600" i="3"/>
  <c r="L600" i="1"/>
  <c r="O600" i="1" s="1"/>
  <c r="K630" i="3"/>
  <c r="I630" i="1"/>
  <c r="O458" i="4"/>
  <c r="L33" i="4"/>
  <c r="O33" i="4" s="1"/>
  <c r="I464" i="1"/>
  <c r="L145" i="1"/>
  <c r="P314" i="2"/>
  <c r="M312" i="2"/>
  <c r="M310" i="2" s="1"/>
  <c r="P25" i="3"/>
  <c r="M15" i="3"/>
  <c r="P15" i="3" s="1"/>
  <c r="M102" i="3"/>
  <c r="M96" i="3" s="1"/>
  <c r="O102" i="3"/>
  <c r="K490" i="3"/>
  <c r="I490" i="1"/>
  <c r="K490" i="1" s="1"/>
  <c r="K515" i="3"/>
  <c r="I515" i="1"/>
  <c r="K515" i="1" s="1"/>
  <c r="O534" i="3"/>
  <c r="L534" i="1"/>
  <c r="O534" i="1" s="1"/>
  <c r="K578" i="5"/>
  <c r="I578" i="1"/>
  <c r="K578" i="1" s="1"/>
  <c r="M15" i="6"/>
  <c r="P15" i="6" s="1"/>
  <c r="P25" i="6"/>
  <c r="P31" i="1"/>
  <c r="I81" i="1"/>
  <c r="L126" i="1"/>
  <c r="O126" i="1" s="1"/>
  <c r="M13" i="2"/>
  <c r="P13" i="2" s="1"/>
  <c r="P23" i="2"/>
  <c r="I665" i="1"/>
  <c r="K665" i="2"/>
  <c r="M30" i="5"/>
  <c r="P30" i="5" s="1"/>
  <c r="P32" i="5"/>
  <c r="M19" i="6"/>
  <c r="P21" i="6"/>
  <c r="M11" i="6"/>
  <c r="L54" i="1"/>
  <c r="O54" i="1" s="1"/>
  <c r="M98" i="1"/>
  <c r="P98" i="1" s="1"/>
  <c r="I491" i="1"/>
  <c r="K491" i="1" s="1"/>
  <c r="I580" i="1"/>
  <c r="J674" i="1"/>
  <c r="J671" i="2"/>
  <c r="J651" i="4"/>
  <c r="K651" i="4" s="1"/>
  <c r="J657" i="1"/>
  <c r="I472" i="1"/>
  <c r="K472" i="1" s="1"/>
  <c r="L24" i="2"/>
  <c r="O24" i="2" s="1"/>
  <c r="N252" i="2"/>
  <c r="N250" i="2" s="1"/>
  <c r="J479" i="1"/>
  <c r="J483" i="1"/>
  <c r="K498" i="3"/>
  <c r="K502" i="3"/>
  <c r="I502" i="1"/>
  <c r="K502" i="1" s="1"/>
  <c r="M29" i="4"/>
  <c r="P31" i="4"/>
  <c r="J514" i="1"/>
  <c r="M15" i="5"/>
  <c r="P25" i="5"/>
  <c r="I498" i="1"/>
  <c r="K498" i="5"/>
  <c r="M21" i="1"/>
  <c r="L119" i="1"/>
  <c r="O119" i="1" s="1"/>
  <c r="I133" i="1"/>
  <c r="J418" i="1"/>
  <c r="O581" i="2"/>
  <c r="L581" i="1"/>
  <c r="O581" i="1" s="1"/>
  <c r="K621" i="2"/>
  <c r="P141" i="3"/>
  <c r="I200" i="1"/>
  <c r="N384" i="1"/>
  <c r="K402" i="2"/>
  <c r="O439" i="2"/>
  <c r="K466" i="2"/>
  <c r="N601" i="1"/>
  <c r="J662" i="1"/>
  <c r="K111" i="3"/>
  <c r="N120" i="3"/>
  <c r="N118" i="3" s="1"/>
  <c r="N222" i="3"/>
  <c r="N220" i="3" s="1"/>
  <c r="M250" i="3"/>
  <c r="K270" i="3"/>
  <c r="N273" i="3"/>
  <c r="N271" i="3" s="1"/>
  <c r="N312" i="3"/>
  <c r="N310" i="3" s="1"/>
  <c r="K396" i="3"/>
  <c r="K417" i="3"/>
  <c r="K425" i="3"/>
  <c r="K429" i="3"/>
  <c r="K474" i="3"/>
  <c r="P224" i="4"/>
  <c r="K464" i="5"/>
  <c r="K64" i="6"/>
  <c r="P29" i="10"/>
  <c r="M28" i="10"/>
  <c r="P28" i="10" s="1"/>
  <c r="J269" i="1"/>
  <c r="P275" i="2"/>
  <c r="J350" i="1"/>
  <c r="N406" i="1"/>
  <c r="J486" i="1"/>
  <c r="J498" i="1"/>
  <c r="J510" i="1"/>
  <c r="J522" i="1"/>
  <c r="N569" i="1"/>
  <c r="I663" i="1"/>
  <c r="K65" i="3"/>
  <c r="L70" i="3"/>
  <c r="L68" i="3" s="1"/>
  <c r="L66" i="3" s="1"/>
  <c r="L98" i="3"/>
  <c r="O98" i="3" s="1"/>
  <c r="P144" i="3"/>
  <c r="K229" i="3"/>
  <c r="N330" i="1"/>
  <c r="P144" i="4"/>
  <c r="L224" i="4"/>
  <c r="O224" i="4" s="1"/>
  <c r="K418" i="4"/>
  <c r="K426" i="4"/>
  <c r="K430" i="4"/>
  <c r="O459" i="4"/>
  <c r="O649" i="4"/>
  <c r="N31" i="5"/>
  <c r="N29" i="5" s="1"/>
  <c r="O385" i="5"/>
  <c r="K473" i="5"/>
  <c r="O564" i="5"/>
  <c r="M14" i="6"/>
  <c r="P14" i="6" s="1"/>
  <c r="O25" i="6"/>
  <c r="M68" i="6"/>
  <c r="J76" i="1"/>
  <c r="K343" i="2"/>
  <c r="K416" i="2"/>
  <c r="K499" i="2"/>
  <c r="J560" i="1"/>
  <c r="N570" i="1"/>
  <c r="M19" i="3"/>
  <c r="P19" i="3" s="1"/>
  <c r="K88" i="3"/>
  <c r="K266" i="3"/>
  <c r="L294" i="3"/>
  <c r="O294" i="3" s="1"/>
  <c r="O401" i="3"/>
  <c r="K422" i="3"/>
  <c r="K426" i="3"/>
  <c r="K451" i="3"/>
  <c r="K249" i="4"/>
  <c r="K267" i="4"/>
  <c r="K368" i="4"/>
  <c r="K419" i="4"/>
  <c r="K427" i="4"/>
  <c r="K573" i="4"/>
  <c r="K591" i="4"/>
  <c r="M14" i="5"/>
  <c r="P14" i="5" s="1"/>
  <c r="K92" i="5"/>
  <c r="M252" i="5"/>
  <c r="P252" i="5" s="1"/>
  <c r="P291" i="5"/>
  <c r="L57" i="6"/>
  <c r="L55" i="6" s="1"/>
  <c r="K402" i="6"/>
  <c r="N141" i="1"/>
  <c r="K93" i="5"/>
  <c r="P224" i="5"/>
  <c r="L333" i="5"/>
  <c r="O333" i="5" s="1"/>
  <c r="K341" i="5"/>
  <c r="K401" i="5"/>
  <c r="K481" i="5"/>
  <c r="K589" i="5"/>
  <c r="M29" i="6"/>
  <c r="N55" i="2"/>
  <c r="N53" i="2" s="1"/>
  <c r="M70" i="1"/>
  <c r="J105" i="1"/>
  <c r="J130" i="1"/>
  <c r="J202" i="1"/>
  <c r="J245" i="1"/>
  <c r="M292" i="2"/>
  <c r="P292" i="2" s="1"/>
  <c r="K464" i="2"/>
  <c r="K589" i="2"/>
  <c r="L15" i="3"/>
  <c r="O15" i="3" s="1"/>
  <c r="N19" i="3"/>
  <c r="O435" i="3"/>
  <c r="K465" i="3"/>
  <c r="L26" i="4"/>
  <c r="L16" i="4" s="1"/>
  <c r="N68" i="4"/>
  <c r="N66" i="4" s="1"/>
  <c r="K113" i="4"/>
  <c r="M22" i="5"/>
  <c r="M12" i="5" s="1"/>
  <c r="N312" i="5"/>
  <c r="N310" i="5" s="1"/>
  <c r="J308" i="1"/>
  <c r="J344" i="1"/>
  <c r="J401" i="1"/>
  <c r="N458" i="1"/>
  <c r="J468" i="1"/>
  <c r="J516" i="1"/>
  <c r="J528" i="1"/>
  <c r="J607" i="1"/>
  <c r="N644" i="2"/>
  <c r="N640" i="2" s="1"/>
  <c r="N638" i="2" s="1"/>
  <c r="N636" i="2" s="1"/>
  <c r="P21" i="3"/>
  <c r="K164" i="3"/>
  <c r="N331" i="3"/>
  <c r="P331" i="3" s="1"/>
  <c r="K340" i="3"/>
  <c r="K376" i="3"/>
  <c r="K402" i="3"/>
  <c r="K466" i="3"/>
  <c r="K633" i="3"/>
  <c r="K265" i="4"/>
  <c r="K270" i="4"/>
  <c r="L275" i="4"/>
  <c r="L273" i="4" s="1"/>
  <c r="O347" i="4"/>
  <c r="K432" i="4"/>
  <c r="K482" i="4"/>
  <c r="N15" i="5"/>
  <c r="P144" i="5"/>
  <c r="K199" i="5"/>
  <c r="L224" i="5"/>
  <c r="O224" i="5" s="1"/>
  <c r="N252" i="5"/>
  <c r="N250" i="5" s="1"/>
  <c r="K397" i="5"/>
  <c r="K421" i="5"/>
  <c r="K425" i="5"/>
  <c r="O566" i="5"/>
  <c r="O584" i="5"/>
  <c r="N55" i="6"/>
  <c r="N53" i="6" s="1"/>
  <c r="N19" i="2"/>
  <c r="J117" i="1"/>
  <c r="K199" i="2"/>
  <c r="K309" i="2"/>
  <c r="L333" i="2"/>
  <c r="O333" i="2" s="1"/>
  <c r="O383" i="2"/>
  <c r="K451" i="2"/>
  <c r="K473" i="2"/>
  <c r="K481" i="2"/>
  <c r="K497" i="2"/>
  <c r="K533" i="2"/>
  <c r="N541" i="1"/>
  <c r="K630" i="2"/>
  <c r="K634" i="2"/>
  <c r="J653" i="1"/>
  <c r="L665" i="1"/>
  <c r="J669" i="1"/>
  <c r="M30" i="3"/>
  <c r="P30" i="3" s="1"/>
  <c r="K82" i="3"/>
  <c r="K92" i="3"/>
  <c r="K110" i="3"/>
  <c r="M142" i="3"/>
  <c r="L254" i="3"/>
  <c r="O254" i="3" s="1"/>
  <c r="K349" i="3"/>
  <c r="O352" i="3"/>
  <c r="K416" i="3"/>
  <c r="K420" i="3"/>
  <c r="K428" i="3"/>
  <c r="K432" i="3"/>
  <c r="K449" i="3"/>
  <c r="K620" i="3"/>
  <c r="K629" i="3"/>
  <c r="M13" i="4"/>
  <c r="P13" i="4" s="1"/>
  <c r="K328" i="4"/>
  <c r="P333" i="4"/>
  <c r="K396" i="4"/>
  <c r="K401" i="4"/>
  <c r="O404" i="4"/>
  <c r="K417" i="4"/>
  <c r="K450" i="4"/>
  <c r="K560" i="4"/>
  <c r="K580" i="4"/>
  <c r="K589" i="4"/>
  <c r="J671" i="4"/>
  <c r="K112" i="5"/>
  <c r="M118" i="5"/>
  <c r="O380" i="5"/>
  <c r="O535" i="5"/>
  <c r="O601" i="5"/>
  <c r="L70" i="6"/>
  <c r="O70" i="6" s="1"/>
  <c r="K625" i="7"/>
  <c r="K626" i="7"/>
  <c r="N32" i="7"/>
  <c r="N30" i="7" s="1"/>
  <c r="P119" i="15"/>
  <c r="M118" i="15"/>
  <c r="O102" i="6"/>
  <c r="K109" i="6"/>
  <c r="K173" i="6"/>
  <c r="L254" i="6"/>
  <c r="L252" i="6" s="1"/>
  <c r="P294" i="6"/>
  <c r="K427" i="6"/>
  <c r="K615" i="6"/>
  <c r="K628" i="6"/>
  <c r="K632" i="6"/>
  <c r="M11" i="7"/>
  <c r="P11" i="7" s="1"/>
  <c r="P21" i="7"/>
  <c r="K88" i="7"/>
  <c r="O437" i="7"/>
  <c r="K450" i="7"/>
  <c r="O457" i="7"/>
  <c r="K498" i="7"/>
  <c r="O568" i="7"/>
  <c r="K635" i="7"/>
  <c r="K64" i="8"/>
  <c r="N252" i="8"/>
  <c r="N250" i="8" s="1"/>
  <c r="O347" i="8"/>
  <c r="N19" i="9"/>
  <c r="M30" i="9"/>
  <c r="P30" i="9" s="1"/>
  <c r="M41" i="9"/>
  <c r="K235" i="9"/>
  <c r="P333" i="9"/>
  <c r="K340" i="9"/>
  <c r="O533" i="9"/>
  <c r="O584" i="9"/>
  <c r="O597" i="9"/>
  <c r="O601" i="9"/>
  <c r="K650" i="9"/>
  <c r="P144" i="10"/>
  <c r="N222" i="10"/>
  <c r="N220" i="10" s="1"/>
  <c r="L275" i="10"/>
  <c r="L273" i="10" s="1"/>
  <c r="L271" i="10" s="1"/>
  <c r="K431" i="10"/>
  <c r="O584" i="10"/>
  <c r="K81" i="11"/>
  <c r="K176" i="11"/>
  <c r="L294" i="11"/>
  <c r="O294" i="11" s="1"/>
  <c r="K372" i="11"/>
  <c r="O380" i="11"/>
  <c r="M14" i="12"/>
  <c r="P14" i="12" s="1"/>
  <c r="L57" i="12"/>
  <c r="L55" i="12" s="1"/>
  <c r="K340" i="13"/>
  <c r="O337" i="14"/>
  <c r="O404" i="8"/>
  <c r="O599" i="8"/>
  <c r="L640" i="8"/>
  <c r="O640" i="8" s="1"/>
  <c r="M14" i="9"/>
  <c r="P14" i="9" s="1"/>
  <c r="P23" i="9"/>
  <c r="N43" i="9"/>
  <c r="N41" i="9" s="1"/>
  <c r="N120" i="9"/>
  <c r="N118" i="9" s="1"/>
  <c r="K158" i="9"/>
  <c r="K164" i="9"/>
  <c r="L275" i="9"/>
  <c r="O275" i="9" s="1"/>
  <c r="P24" i="10"/>
  <c r="N55" i="11"/>
  <c r="N53" i="11" s="1"/>
  <c r="M11" i="16"/>
  <c r="P11" i="16" s="1"/>
  <c r="K200" i="6"/>
  <c r="K270" i="6"/>
  <c r="K466" i="6"/>
  <c r="M29" i="7"/>
  <c r="K350" i="7"/>
  <c r="J651" i="7"/>
  <c r="M14" i="8"/>
  <c r="P14" i="8" s="1"/>
  <c r="O25" i="8"/>
  <c r="K92" i="8"/>
  <c r="K199" i="8"/>
  <c r="P224" i="8"/>
  <c r="N312" i="8"/>
  <c r="N310" i="8" s="1"/>
  <c r="K631" i="9"/>
  <c r="O665" i="9"/>
  <c r="K189" i="10"/>
  <c r="O337" i="10"/>
  <c r="K396" i="10"/>
  <c r="O455" i="10"/>
  <c r="O459" i="10"/>
  <c r="K533" i="10"/>
  <c r="O597" i="10"/>
  <c r="P45" i="11"/>
  <c r="K64" i="11"/>
  <c r="K235" i="11"/>
  <c r="K270" i="11"/>
  <c r="K377" i="11"/>
  <c r="O404" i="12"/>
  <c r="K417" i="12"/>
  <c r="K421" i="12"/>
  <c r="M14" i="13"/>
  <c r="P14" i="13" s="1"/>
  <c r="P24" i="13"/>
  <c r="K235" i="15"/>
  <c r="K285" i="15"/>
  <c r="O650" i="15"/>
  <c r="M13" i="16"/>
  <c r="P13" i="16" s="1"/>
  <c r="K164" i="6"/>
  <c r="K229" i="6"/>
  <c r="K401" i="6"/>
  <c r="O457" i="6"/>
  <c r="K612" i="6"/>
  <c r="M30" i="7"/>
  <c r="P30" i="7" s="1"/>
  <c r="K86" i="7"/>
  <c r="K110" i="7"/>
  <c r="K215" i="7"/>
  <c r="L70" i="8"/>
  <c r="O70" i="8" s="1"/>
  <c r="K93" i="8"/>
  <c r="K111" i="8"/>
  <c r="O401" i="8"/>
  <c r="K499" i="8"/>
  <c r="J671" i="8"/>
  <c r="L45" i="9"/>
  <c r="O45" i="9" s="1"/>
  <c r="N142" i="9"/>
  <c r="N140" i="9" s="1"/>
  <c r="P140" i="9" s="1"/>
  <c r="N644" i="9"/>
  <c r="N640" i="9" s="1"/>
  <c r="N638" i="9" s="1"/>
  <c r="N636" i="9" s="1"/>
  <c r="M292" i="10"/>
  <c r="P292" i="10" s="1"/>
  <c r="L19" i="14"/>
  <c r="O19" i="14" s="1"/>
  <c r="O21" i="14"/>
  <c r="K613" i="15"/>
  <c r="K611" i="15"/>
  <c r="P98" i="6"/>
  <c r="K597" i="6"/>
  <c r="K648" i="6"/>
  <c r="M271" i="7"/>
  <c r="O347" i="7"/>
  <c r="K377" i="7"/>
  <c r="O435" i="7"/>
  <c r="O455" i="7"/>
  <c r="K481" i="7"/>
  <c r="L98" i="8"/>
  <c r="O98" i="8" s="1"/>
  <c r="K132" i="8"/>
  <c r="K216" i="8"/>
  <c r="K341" i="8"/>
  <c r="K345" i="8"/>
  <c r="O349" i="8"/>
  <c r="K380" i="8"/>
  <c r="K435" i="8"/>
  <c r="O568" i="8"/>
  <c r="O597" i="8"/>
  <c r="O601" i="8"/>
  <c r="M15" i="9"/>
  <c r="P15" i="9" s="1"/>
  <c r="K380" i="9"/>
  <c r="O404" i="9"/>
  <c r="K421" i="9"/>
  <c r="K449" i="9"/>
  <c r="O457" i="9"/>
  <c r="K65" i="10"/>
  <c r="M140" i="10"/>
  <c r="K429" i="10"/>
  <c r="K612" i="10"/>
  <c r="K65" i="11"/>
  <c r="P224" i="11"/>
  <c r="K547" i="11"/>
  <c r="K375" i="12"/>
  <c r="K380" i="12"/>
  <c r="L19" i="15"/>
  <c r="O19" i="15" s="1"/>
  <c r="N32" i="15"/>
  <c r="N30" i="15" s="1"/>
  <c r="N96" i="16"/>
  <c r="N94" i="16" s="1"/>
  <c r="N222" i="6"/>
  <c r="N220" i="6" s="1"/>
  <c r="N43" i="7"/>
  <c r="N41" i="7" s="1"/>
  <c r="N120" i="7"/>
  <c r="N118" i="7" s="1"/>
  <c r="N142" i="7"/>
  <c r="P142" i="7" s="1"/>
  <c r="K264" i="8"/>
  <c r="K372" i="8"/>
  <c r="K376" i="8"/>
  <c r="K398" i="8"/>
  <c r="K635" i="8"/>
  <c r="M273" i="9"/>
  <c r="P273" i="9" s="1"/>
  <c r="K464" i="9"/>
  <c r="K633" i="9"/>
  <c r="K87" i="10"/>
  <c r="M222" i="10"/>
  <c r="P222" i="10" s="1"/>
  <c r="K340" i="10"/>
  <c r="K418" i="10"/>
  <c r="K449" i="10"/>
  <c r="K560" i="10"/>
  <c r="L98" i="11"/>
  <c r="L96" i="11" s="1"/>
  <c r="K200" i="11"/>
  <c r="L333" i="11"/>
  <c r="L331" i="11" s="1"/>
  <c r="K349" i="11"/>
  <c r="K396" i="11"/>
  <c r="L224" i="13"/>
  <c r="O224" i="13" s="1"/>
  <c r="K432" i="13"/>
  <c r="O599" i="13"/>
  <c r="O533" i="14"/>
  <c r="O537" i="14"/>
  <c r="K580" i="14"/>
  <c r="K597" i="14"/>
  <c r="M19" i="15"/>
  <c r="P19" i="15" s="1"/>
  <c r="L122" i="15"/>
  <c r="O122" i="15" s="1"/>
  <c r="K380" i="16"/>
  <c r="N120" i="6"/>
  <c r="N118" i="6" s="1"/>
  <c r="K267" i="6"/>
  <c r="K328" i="6"/>
  <c r="K398" i="6"/>
  <c r="K426" i="6"/>
  <c r="K573" i="6"/>
  <c r="O597" i="6"/>
  <c r="O601" i="6"/>
  <c r="K631" i="6"/>
  <c r="K635" i="6"/>
  <c r="L122" i="7"/>
  <c r="L120" i="7" s="1"/>
  <c r="M312" i="7"/>
  <c r="P312" i="7" s="1"/>
  <c r="K349" i="7"/>
  <c r="K474" i="7"/>
  <c r="K482" i="7"/>
  <c r="K573" i="7"/>
  <c r="K133" i="8"/>
  <c r="K201" i="8"/>
  <c r="P275" i="8"/>
  <c r="K419" i="8"/>
  <c r="K423" i="8"/>
  <c r="K431" i="8"/>
  <c r="O435" i="8"/>
  <c r="K547" i="8"/>
  <c r="O582" i="8"/>
  <c r="K189" i="9"/>
  <c r="K200" i="9"/>
  <c r="L254" i="9"/>
  <c r="O254" i="9" s="1"/>
  <c r="O354" i="9"/>
  <c r="K376" i="9"/>
  <c r="K498" i="9"/>
  <c r="K533" i="9"/>
  <c r="O651" i="9"/>
  <c r="L57" i="10"/>
  <c r="L55" i="10" s="1"/>
  <c r="K422" i="10"/>
  <c r="K426" i="10"/>
  <c r="K430" i="10"/>
  <c r="K375" i="11"/>
  <c r="K380" i="11"/>
  <c r="P29" i="12"/>
  <c r="M28" i="12"/>
  <c r="P28" i="12" s="1"/>
  <c r="K497" i="15"/>
  <c r="O404" i="11"/>
  <c r="K432" i="11"/>
  <c r="K482" i="11"/>
  <c r="K649" i="11"/>
  <c r="P57" i="12"/>
  <c r="K108" i="12"/>
  <c r="K133" i="12"/>
  <c r="K328" i="12"/>
  <c r="K341" i="12"/>
  <c r="O349" i="12"/>
  <c r="K401" i="12"/>
  <c r="K449" i="12"/>
  <c r="K466" i="12"/>
  <c r="L45" i="13"/>
  <c r="O45" i="13" s="1"/>
  <c r="L122" i="13"/>
  <c r="O122" i="13" s="1"/>
  <c r="K173" i="13"/>
  <c r="K200" i="13"/>
  <c r="O347" i="13"/>
  <c r="K377" i="13"/>
  <c r="L15" i="14"/>
  <c r="O15" i="14" s="1"/>
  <c r="K93" i="14"/>
  <c r="L122" i="14"/>
  <c r="O122" i="14" s="1"/>
  <c r="K375" i="14"/>
  <c r="K417" i="14"/>
  <c r="O564" i="14"/>
  <c r="K623" i="14"/>
  <c r="J651" i="14"/>
  <c r="K216" i="15"/>
  <c r="K380" i="15"/>
  <c r="O383" i="15"/>
  <c r="K397" i="15"/>
  <c r="K418" i="15"/>
  <c r="K426" i="15"/>
  <c r="O566" i="15"/>
  <c r="O601" i="15"/>
  <c r="N68" i="16"/>
  <c r="N66" i="16" s="1"/>
  <c r="K328" i="16"/>
  <c r="P333" i="16"/>
  <c r="K349" i="16"/>
  <c r="O383" i="17"/>
  <c r="K397" i="17"/>
  <c r="K421" i="17"/>
  <c r="K425" i="17"/>
  <c r="O437" i="17"/>
  <c r="O665" i="17"/>
  <c r="L57" i="18"/>
  <c r="O57" i="18" s="1"/>
  <c r="L254" i="18"/>
  <c r="O254" i="18" s="1"/>
  <c r="P275" i="18"/>
  <c r="K381" i="18"/>
  <c r="K432" i="18"/>
  <c r="K466" i="18"/>
  <c r="O584" i="18"/>
  <c r="K631" i="18"/>
  <c r="O650" i="18"/>
  <c r="O671" i="18"/>
  <c r="K631" i="16"/>
  <c r="K635" i="16"/>
  <c r="K186" i="17"/>
  <c r="P224" i="17"/>
  <c r="K455" i="17"/>
  <c r="K547" i="17"/>
  <c r="K597" i="17"/>
  <c r="K630" i="17"/>
  <c r="K650" i="17"/>
  <c r="P102" i="18"/>
  <c r="K189" i="18"/>
  <c r="K200" i="18"/>
  <c r="K306" i="18"/>
  <c r="P333" i="18"/>
  <c r="K370" i="18"/>
  <c r="K663" i="18"/>
  <c r="N32" i="17"/>
  <c r="N30" i="17" s="1"/>
  <c r="O352" i="13"/>
  <c r="K466" i="13"/>
  <c r="K621" i="14"/>
  <c r="K235" i="16"/>
  <c r="O349" i="16"/>
  <c r="N33" i="16"/>
  <c r="N13" i="16" s="1"/>
  <c r="K149" i="17"/>
  <c r="K219" i="17"/>
  <c r="M66" i="18"/>
  <c r="K229" i="18"/>
  <c r="O668" i="18"/>
  <c r="O380" i="12"/>
  <c r="K634" i="12"/>
  <c r="N312" i="13"/>
  <c r="N310" i="13" s="1"/>
  <c r="O457" i="13"/>
  <c r="K547" i="13"/>
  <c r="O566" i="13"/>
  <c r="K630" i="13"/>
  <c r="K109" i="14"/>
  <c r="O347" i="14"/>
  <c r="K370" i="14"/>
  <c r="O566" i="14"/>
  <c r="O584" i="14"/>
  <c r="N142" i="15"/>
  <c r="N140" i="15" s="1"/>
  <c r="O651" i="15"/>
  <c r="K665" i="15"/>
  <c r="K350" i="16"/>
  <c r="K430" i="16"/>
  <c r="K499" i="16"/>
  <c r="M14" i="17"/>
  <c r="P14" i="17" s="1"/>
  <c r="K464" i="18"/>
  <c r="K533" i="11"/>
  <c r="O580" i="11"/>
  <c r="N142" i="12"/>
  <c r="P142" i="12" s="1"/>
  <c r="J671" i="12"/>
  <c r="K450" i="13"/>
  <c r="K631" i="13"/>
  <c r="K625" i="14"/>
  <c r="L70" i="15"/>
  <c r="L68" i="15" s="1"/>
  <c r="L66" i="15" s="1"/>
  <c r="K80" i="15"/>
  <c r="K88" i="15"/>
  <c r="N120" i="15"/>
  <c r="N118" i="15" s="1"/>
  <c r="K219" i="15"/>
  <c r="P224" i="15"/>
  <c r="K377" i="15"/>
  <c r="K499" i="15"/>
  <c r="P98" i="16"/>
  <c r="K199" i="16"/>
  <c r="K381" i="16"/>
  <c r="O385" i="16"/>
  <c r="K597" i="16"/>
  <c r="K633" i="16"/>
  <c r="K132" i="17"/>
  <c r="N142" i="17"/>
  <c r="P142" i="17" s="1"/>
  <c r="K235" i="17"/>
  <c r="O347" i="17"/>
  <c r="K423" i="17"/>
  <c r="O459" i="17"/>
  <c r="K615" i="17"/>
  <c r="L19" i="18"/>
  <c r="O19" i="18" s="1"/>
  <c r="K93" i="18"/>
  <c r="M96" i="18"/>
  <c r="K368" i="18"/>
  <c r="O537" i="18"/>
  <c r="O665" i="18"/>
  <c r="O439" i="11"/>
  <c r="K377" i="12"/>
  <c r="K381" i="12"/>
  <c r="K482" i="13"/>
  <c r="K573" i="13"/>
  <c r="O597" i="13"/>
  <c r="K328" i="14"/>
  <c r="N331" i="14"/>
  <c r="N329" i="14" s="1"/>
  <c r="K611" i="14"/>
  <c r="K615" i="14"/>
  <c r="K634" i="14"/>
  <c r="K204" i="15"/>
  <c r="K429" i="15"/>
  <c r="O437" i="15"/>
  <c r="K612" i="15"/>
  <c r="P45" i="16"/>
  <c r="N142" i="16"/>
  <c r="N140" i="16" s="1"/>
  <c r="J671" i="16"/>
  <c r="N273" i="17"/>
  <c r="N271" i="17" s="1"/>
  <c r="K424" i="17"/>
  <c r="K428" i="17"/>
  <c r="K432" i="17"/>
  <c r="N96" i="18"/>
  <c r="N94" i="18" s="1"/>
  <c r="M140" i="18"/>
  <c r="N252" i="18"/>
  <c r="P252" i="18" s="1"/>
  <c r="M273" i="18"/>
  <c r="M271" i="18" s="1"/>
  <c r="K309" i="18"/>
  <c r="L314" i="18"/>
  <c r="L312" i="18" s="1"/>
  <c r="O435" i="18"/>
  <c r="K473" i="18"/>
  <c r="K580" i="18"/>
  <c r="L98" i="12"/>
  <c r="L96" i="12" s="1"/>
  <c r="L94" i="12" s="1"/>
  <c r="L144" i="12"/>
  <c r="L142" i="12" s="1"/>
  <c r="N273" i="12"/>
  <c r="N271" i="12" s="1"/>
  <c r="N312" i="12"/>
  <c r="N310" i="12" s="1"/>
  <c r="P45" i="13"/>
  <c r="O380" i="13"/>
  <c r="K464" i="13"/>
  <c r="M11" i="14"/>
  <c r="P11" i="14" s="1"/>
  <c r="L224" i="15"/>
  <c r="O224" i="15" s="1"/>
  <c r="P275" i="15"/>
  <c r="L294" i="15"/>
  <c r="L292" i="15" s="1"/>
  <c r="N312" i="15"/>
  <c r="N310" i="15" s="1"/>
  <c r="K341" i="15"/>
  <c r="O349" i="15"/>
  <c r="O661" i="15"/>
  <c r="K343" i="16"/>
  <c r="N96" i="17"/>
  <c r="N94" i="17" s="1"/>
  <c r="K229" i="17"/>
  <c r="K265" i="17"/>
  <c r="K625" i="17"/>
  <c r="N120" i="18"/>
  <c r="N118" i="18" s="1"/>
  <c r="N142" i="18"/>
  <c r="N140" i="18" s="1"/>
  <c r="O566" i="18"/>
  <c r="J671" i="18"/>
  <c r="K671" i="18" s="1"/>
  <c r="M252" i="2"/>
  <c r="J284" i="1"/>
  <c r="K435" i="2"/>
  <c r="O437" i="2"/>
  <c r="K597" i="2"/>
  <c r="K628" i="2"/>
  <c r="K138" i="3"/>
  <c r="L333" i="3"/>
  <c r="O333" i="3" s="1"/>
  <c r="K350" i="3"/>
  <c r="L31" i="2"/>
  <c r="L29" i="2" s="1"/>
  <c r="O29" i="2" s="1"/>
  <c r="N68" i="2"/>
  <c r="N66" i="2" s="1"/>
  <c r="N96" i="2"/>
  <c r="N94" i="2" s="1"/>
  <c r="L224" i="2"/>
  <c r="L222" i="2" s="1"/>
  <c r="L220" i="2" s="1"/>
  <c r="K285" i="2"/>
  <c r="J376" i="1"/>
  <c r="K380" i="2"/>
  <c r="O533" i="2"/>
  <c r="P57" i="3"/>
  <c r="K93" i="3"/>
  <c r="K108" i="3"/>
  <c r="L31" i="3"/>
  <c r="L29" i="3" s="1"/>
  <c r="O406" i="3"/>
  <c r="O457" i="3"/>
  <c r="L294" i="2"/>
  <c r="O294" i="2" s="1"/>
  <c r="K341" i="2"/>
  <c r="O347" i="2"/>
  <c r="K426" i="2"/>
  <c r="O435" i="2"/>
  <c r="K632" i="2"/>
  <c r="K80" i="3"/>
  <c r="K83" i="3"/>
  <c r="P98" i="3"/>
  <c r="L122" i="3"/>
  <c r="L120" i="3" s="1"/>
  <c r="L118" i="3" s="1"/>
  <c r="O118" i="3" s="1"/>
  <c r="K200" i="3"/>
  <c r="O404" i="3"/>
  <c r="K418" i="3"/>
  <c r="K424" i="3"/>
  <c r="K430" i="3"/>
  <c r="M140" i="6"/>
  <c r="N120" i="2"/>
  <c r="N118" i="2" s="1"/>
  <c r="K133" i="2"/>
  <c r="K158" i="2"/>
  <c r="M273" i="2"/>
  <c r="M333" i="1"/>
  <c r="K450" i="2"/>
  <c r="K551" i="2"/>
  <c r="K573" i="2"/>
  <c r="K591" i="2"/>
  <c r="K401" i="3"/>
  <c r="K450" i="3"/>
  <c r="N22" i="2"/>
  <c r="N142" i="2"/>
  <c r="K164" i="2"/>
  <c r="K189" i="2"/>
  <c r="K219" i="2"/>
  <c r="K324" i="2"/>
  <c r="N331" i="2"/>
  <c r="N329" i="2" s="1"/>
  <c r="L33" i="3"/>
  <c r="O33" i="3" s="1"/>
  <c r="K112" i="3"/>
  <c r="I367" i="3"/>
  <c r="K367" i="3" s="1"/>
  <c r="K398" i="3"/>
  <c r="O437" i="3"/>
  <c r="K626" i="3"/>
  <c r="K81" i="4"/>
  <c r="K87" i="4"/>
  <c r="K350" i="4"/>
  <c r="K423" i="4"/>
  <c r="K429" i="4"/>
  <c r="O457" i="4"/>
  <c r="K465" i="4"/>
  <c r="K473" i="4"/>
  <c r="O566" i="4"/>
  <c r="M68" i="5"/>
  <c r="M66" i="5" s="1"/>
  <c r="P66" i="5" s="1"/>
  <c r="P98" i="5"/>
  <c r="K428" i="5"/>
  <c r="K613" i="8"/>
  <c r="K481" i="3"/>
  <c r="O582" i="3"/>
  <c r="K631" i="3"/>
  <c r="N26" i="4"/>
  <c r="N16" i="4" s="1"/>
  <c r="K497" i="4"/>
  <c r="O555" i="4"/>
  <c r="O599" i="4"/>
  <c r="O651" i="4"/>
  <c r="L98" i="5"/>
  <c r="O98" i="5" s="1"/>
  <c r="K328" i="5"/>
  <c r="K435" i="5"/>
  <c r="O437" i="5"/>
  <c r="O533" i="5"/>
  <c r="K613" i="6"/>
  <c r="K616" i="6"/>
  <c r="J651" i="6"/>
  <c r="K651" i="6" s="1"/>
  <c r="L70" i="7"/>
  <c r="O70" i="7" s="1"/>
  <c r="K93" i="7"/>
  <c r="K149" i="7"/>
  <c r="K435" i="7"/>
  <c r="K449" i="7"/>
  <c r="K466" i="7"/>
  <c r="K117" i="8"/>
  <c r="P122" i="8"/>
  <c r="L254" i="8"/>
  <c r="O254" i="8" s="1"/>
  <c r="K343" i="8"/>
  <c r="K416" i="8"/>
  <c r="O459" i="8"/>
  <c r="K619" i="8"/>
  <c r="L23" i="9"/>
  <c r="O23" i="9" s="1"/>
  <c r="O347" i="9"/>
  <c r="P98" i="11"/>
  <c r="M96" i="11"/>
  <c r="P224" i="13"/>
  <c r="M222" i="13"/>
  <c r="P57" i="14"/>
  <c r="M55" i="14"/>
  <c r="K547" i="3"/>
  <c r="K624" i="3"/>
  <c r="K88" i="4"/>
  <c r="K112" i="4"/>
  <c r="K173" i="4"/>
  <c r="K229" i="4"/>
  <c r="K340" i="4"/>
  <c r="K343" i="4"/>
  <c r="K372" i="4"/>
  <c r="K375" i="4"/>
  <c r="K381" i="4"/>
  <c r="K424" i="4"/>
  <c r="O564" i="4"/>
  <c r="N120" i="5"/>
  <c r="N118" i="5" s="1"/>
  <c r="N292" i="5"/>
  <c r="N290" i="5" s="1"/>
  <c r="K429" i="5"/>
  <c r="K455" i="5"/>
  <c r="K597" i="5"/>
  <c r="K80" i="6"/>
  <c r="M102" i="6"/>
  <c r="K345" i="6"/>
  <c r="K377" i="6"/>
  <c r="O568" i="6"/>
  <c r="N96" i="7"/>
  <c r="N94" i="7" s="1"/>
  <c r="K343" i="7"/>
  <c r="I367" i="7"/>
  <c r="K367" i="7" s="1"/>
  <c r="N33" i="7"/>
  <c r="N13" i="7" s="1"/>
  <c r="K81" i="8"/>
  <c r="K249" i="8"/>
  <c r="N273" i="8"/>
  <c r="N271" i="8" s="1"/>
  <c r="N331" i="8"/>
  <c r="N329" i="8" s="1"/>
  <c r="N31" i="8"/>
  <c r="N11" i="8" s="1"/>
  <c r="N9" i="8" s="1"/>
  <c r="K397" i="8"/>
  <c r="K417" i="8"/>
  <c r="K425" i="8"/>
  <c r="K428" i="8"/>
  <c r="K533" i="8"/>
  <c r="K595" i="8"/>
  <c r="N222" i="9"/>
  <c r="N220" i="9" s="1"/>
  <c r="N273" i="9"/>
  <c r="N271" i="9" s="1"/>
  <c r="K345" i="9"/>
  <c r="K350" i="9"/>
  <c r="K368" i="9"/>
  <c r="K397" i="9"/>
  <c r="K402" i="9"/>
  <c r="K416" i="9"/>
  <c r="K430" i="9"/>
  <c r="O435" i="9"/>
  <c r="K371" i="10"/>
  <c r="I367" i="10"/>
  <c r="K367" i="10" s="1"/>
  <c r="K466" i="10"/>
  <c r="O533" i="10"/>
  <c r="K626" i="12"/>
  <c r="K621" i="12"/>
  <c r="K623" i="12"/>
  <c r="K625" i="12"/>
  <c r="K632" i="3"/>
  <c r="K498" i="4"/>
  <c r="K593" i="4"/>
  <c r="N331" i="5"/>
  <c r="N329" i="5" s="1"/>
  <c r="M120" i="6"/>
  <c r="K614" i="6"/>
  <c r="K381" i="7"/>
  <c r="O401" i="7"/>
  <c r="O537" i="7"/>
  <c r="O584" i="7"/>
  <c r="K622" i="7"/>
  <c r="M96" i="8"/>
  <c r="M94" i="8" s="1"/>
  <c r="L314" i="8"/>
  <c r="O314" i="8" s="1"/>
  <c r="P333" i="8"/>
  <c r="K465" i="8"/>
  <c r="K498" i="8"/>
  <c r="O533" i="8"/>
  <c r="J651" i="8"/>
  <c r="M312" i="9"/>
  <c r="P312" i="9" s="1"/>
  <c r="M273" i="12"/>
  <c r="M271" i="12" s="1"/>
  <c r="P275" i="12"/>
  <c r="P292" i="14"/>
  <c r="M290" i="14"/>
  <c r="P290" i="14" s="1"/>
  <c r="N644" i="3"/>
  <c r="N640" i="3" s="1"/>
  <c r="N638" i="3" s="1"/>
  <c r="N636" i="3" s="1"/>
  <c r="K86" i="4"/>
  <c r="K108" i="4"/>
  <c r="K264" i="4"/>
  <c r="O337" i="4"/>
  <c r="K376" i="4"/>
  <c r="K380" i="4"/>
  <c r="K402" i="4"/>
  <c r="K431" i="4"/>
  <c r="O568" i="4"/>
  <c r="L275" i="5"/>
  <c r="L273" i="5" s="1"/>
  <c r="K497" i="5"/>
  <c r="O597" i="5"/>
  <c r="J651" i="5"/>
  <c r="K219" i="6"/>
  <c r="N252" i="6"/>
  <c r="N250" i="6" s="1"/>
  <c r="K349" i="6"/>
  <c r="K419" i="6"/>
  <c r="O533" i="6"/>
  <c r="K617" i="6"/>
  <c r="K398" i="7"/>
  <c r="O459" i="7"/>
  <c r="K629" i="7"/>
  <c r="K634" i="7"/>
  <c r="P57" i="8"/>
  <c r="N292" i="8"/>
  <c r="N290" i="8" s="1"/>
  <c r="K432" i="8"/>
  <c r="K466" i="8"/>
  <c r="K573" i="8"/>
  <c r="K591" i="8"/>
  <c r="O380" i="9"/>
  <c r="K422" i="9"/>
  <c r="P294" i="11"/>
  <c r="M292" i="11"/>
  <c r="P292" i="11" s="1"/>
  <c r="K428" i="11"/>
  <c r="O535" i="11"/>
  <c r="K499" i="3"/>
  <c r="O584" i="3"/>
  <c r="K117" i="5"/>
  <c r="K345" i="5"/>
  <c r="O568" i="5"/>
  <c r="P144" i="6"/>
  <c r="K266" i="6"/>
  <c r="P292" i="6"/>
  <c r="O349" i="6"/>
  <c r="K422" i="6"/>
  <c r="O455" i="6"/>
  <c r="O564" i="6"/>
  <c r="K630" i="6"/>
  <c r="O648" i="6"/>
  <c r="K92" i="7"/>
  <c r="K199" i="7"/>
  <c r="L224" i="7"/>
  <c r="O224" i="7" s="1"/>
  <c r="O352" i="7"/>
  <c r="K376" i="7"/>
  <c r="O404" i="7"/>
  <c r="K465" i="7"/>
  <c r="K473" i="7"/>
  <c r="K497" i="7"/>
  <c r="O533" i="7"/>
  <c r="O580" i="7"/>
  <c r="K109" i="8"/>
  <c r="K112" i="8"/>
  <c r="K285" i="8"/>
  <c r="L333" i="8"/>
  <c r="O333" i="8" s="1"/>
  <c r="K340" i="8"/>
  <c r="K381" i="8"/>
  <c r="K427" i="8"/>
  <c r="K450" i="8"/>
  <c r="K564" i="8"/>
  <c r="K631" i="8"/>
  <c r="N312" i="9"/>
  <c r="N310" i="9" s="1"/>
  <c r="P337" i="9"/>
  <c r="K375" i="9"/>
  <c r="O401" i="9"/>
  <c r="K423" i="9"/>
  <c r="K81" i="10"/>
  <c r="K117" i="12"/>
  <c r="K235" i="12"/>
  <c r="K474" i="9"/>
  <c r="O535" i="9"/>
  <c r="O661" i="9"/>
  <c r="K665" i="9"/>
  <c r="L98" i="10"/>
  <c r="O98" i="10" s="1"/>
  <c r="O401" i="10"/>
  <c r="K498" i="10"/>
  <c r="K551" i="10"/>
  <c r="K420" i="11"/>
  <c r="K423" i="11"/>
  <c r="O437" i="11"/>
  <c r="K597" i="11"/>
  <c r="P45" i="12"/>
  <c r="K533" i="12"/>
  <c r="P122" i="13"/>
  <c r="K133" i="13"/>
  <c r="L254" i="13"/>
  <c r="O254" i="13" s="1"/>
  <c r="K349" i="13"/>
  <c r="O354" i="13"/>
  <c r="K397" i="13"/>
  <c r="O406" i="13"/>
  <c r="K422" i="13"/>
  <c r="K425" i="13"/>
  <c r="K428" i="13"/>
  <c r="O382" i="15"/>
  <c r="L31" i="15"/>
  <c r="L11" i="15" s="1"/>
  <c r="O11" i="15" s="1"/>
  <c r="K595" i="9"/>
  <c r="K628" i="9"/>
  <c r="O404" i="10"/>
  <c r="O553" i="10"/>
  <c r="K267" i="11"/>
  <c r="N312" i="11"/>
  <c r="N310" i="11" s="1"/>
  <c r="K449" i="11"/>
  <c r="O582" i="11"/>
  <c r="K622" i="11"/>
  <c r="O665" i="11"/>
  <c r="O102" i="12"/>
  <c r="L122" i="12"/>
  <c r="L120" i="12" s="1"/>
  <c r="K249" i="12"/>
  <c r="O352" i="12"/>
  <c r="K425" i="12"/>
  <c r="K473" i="12"/>
  <c r="K497" i="12"/>
  <c r="O568" i="12"/>
  <c r="O337" i="13"/>
  <c r="O349" i="13"/>
  <c r="K498" i="13"/>
  <c r="L640" i="13"/>
  <c r="O640" i="13" s="1"/>
  <c r="N43" i="14"/>
  <c r="N41" i="14" s="1"/>
  <c r="N252" i="14"/>
  <c r="N250" i="14" s="1"/>
  <c r="N292" i="14"/>
  <c r="N290" i="14" s="1"/>
  <c r="M337" i="14"/>
  <c r="M331" i="14" s="1"/>
  <c r="N32" i="14"/>
  <c r="N30" i="14" s="1"/>
  <c r="K580" i="9"/>
  <c r="P337" i="10"/>
  <c r="K397" i="10"/>
  <c r="N644" i="10"/>
  <c r="N640" i="10" s="1"/>
  <c r="N638" i="10" s="1"/>
  <c r="N636" i="10" s="1"/>
  <c r="K201" i="11"/>
  <c r="L275" i="11"/>
  <c r="L273" i="11" s="1"/>
  <c r="L271" i="11" s="1"/>
  <c r="K341" i="11"/>
  <c r="O349" i="11"/>
  <c r="K474" i="11"/>
  <c r="K595" i="11"/>
  <c r="K219" i="12"/>
  <c r="O347" i="12"/>
  <c r="P144" i="13"/>
  <c r="K375" i="13"/>
  <c r="K613" i="13"/>
  <c r="K113" i="14"/>
  <c r="N142" i="14"/>
  <c r="P142" i="14" s="1"/>
  <c r="N222" i="14"/>
  <c r="N220" i="14" s="1"/>
  <c r="P254" i="14"/>
  <c r="P294" i="14"/>
  <c r="L26" i="18"/>
  <c r="L16" i="18" s="1"/>
  <c r="K499" i="9"/>
  <c r="K564" i="10"/>
  <c r="N68" i="11"/>
  <c r="P68" i="11" s="1"/>
  <c r="N331" i="11"/>
  <c r="N329" i="11" s="1"/>
  <c r="K416" i="11"/>
  <c r="K450" i="11"/>
  <c r="P98" i="12"/>
  <c r="K199" i="12"/>
  <c r="O665" i="12"/>
  <c r="N252" i="13"/>
  <c r="N250" i="13" s="1"/>
  <c r="K474" i="13"/>
  <c r="O535" i="13"/>
  <c r="K580" i="13"/>
  <c r="K615" i="13"/>
  <c r="K619" i="13"/>
  <c r="K108" i="14"/>
  <c r="K368" i="14"/>
  <c r="K419" i="14"/>
  <c r="K427" i="14"/>
  <c r="K419" i="16"/>
  <c r="N292" i="18"/>
  <c r="N290" i="18" s="1"/>
  <c r="K635" i="9"/>
  <c r="K173" i="10"/>
  <c r="K341" i="10"/>
  <c r="K419" i="10"/>
  <c r="K424" i="10"/>
  <c r="K450" i="10"/>
  <c r="K481" i="10"/>
  <c r="O599" i="10"/>
  <c r="L122" i="11"/>
  <c r="L120" i="11" s="1"/>
  <c r="K266" i="11"/>
  <c r="K285" i="11"/>
  <c r="P333" i="11"/>
  <c r="O347" i="11"/>
  <c r="K350" i="11"/>
  <c r="L34" i="11"/>
  <c r="K464" i="11"/>
  <c r="K626" i="11"/>
  <c r="K630" i="11"/>
  <c r="K633" i="11"/>
  <c r="L70" i="12"/>
  <c r="O70" i="12" s="1"/>
  <c r="K109" i="12"/>
  <c r="K112" i="12"/>
  <c r="K164" i="12"/>
  <c r="K229" i="12"/>
  <c r="N252" i="12"/>
  <c r="N250" i="12" s="1"/>
  <c r="K285" i="12"/>
  <c r="L333" i="12"/>
  <c r="L331" i="12" s="1"/>
  <c r="L329" i="12" s="1"/>
  <c r="K340" i="12"/>
  <c r="K345" i="12"/>
  <c r="K429" i="12"/>
  <c r="K435" i="12"/>
  <c r="O437" i="12"/>
  <c r="K631" i="12"/>
  <c r="K117" i="13"/>
  <c r="K345" i="13"/>
  <c r="K380" i="13"/>
  <c r="K430" i="13"/>
  <c r="K497" i="13"/>
  <c r="K593" i="13"/>
  <c r="J651" i="13"/>
  <c r="O102" i="14"/>
  <c r="K164" i="14"/>
  <c r="K270" i="14"/>
  <c r="N273" i="14"/>
  <c r="N271" i="14" s="1"/>
  <c r="L333" i="14"/>
  <c r="L331" i="14" s="1"/>
  <c r="O385" i="14"/>
  <c r="K397" i="14"/>
  <c r="K401" i="14"/>
  <c r="K425" i="14"/>
  <c r="K435" i="15"/>
  <c r="M120" i="17"/>
  <c r="P122" i="17"/>
  <c r="K450" i="14"/>
  <c r="K564" i="14"/>
  <c r="N644" i="14"/>
  <c r="N640" i="14" s="1"/>
  <c r="N638" i="14" s="1"/>
  <c r="N636" i="14" s="1"/>
  <c r="K117" i="15"/>
  <c r="P333" i="15"/>
  <c r="K345" i="15"/>
  <c r="K455" i="15"/>
  <c r="K465" i="15"/>
  <c r="K474" i="15"/>
  <c r="O533" i="15"/>
  <c r="K547" i="15"/>
  <c r="K173" i="16"/>
  <c r="K270" i="16"/>
  <c r="N273" i="16"/>
  <c r="N271" i="16" s="1"/>
  <c r="P271" i="16" s="1"/>
  <c r="K285" i="16"/>
  <c r="K425" i="16"/>
  <c r="K428" i="16"/>
  <c r="O568" i="16"/>
  <c r="O584" i="16"/>
  <c r="K620" i="16"/>
  <c r="K185" i="17"/>
  <c r="K189" i="17"/>
  <c r="K368" i="17"/>
  <c r="O385" i="17"/>
  <c r="L34" i="17"/>
  <c r="K623" i="17"/>
  <c r="K64" i="18"/>
  <c r="L70" i="18"/>
  <c r="L68" i="18" s="1"/>
  <c r="L66" i="18" s="1"/>
  <c r="L98" i="18"/>
  <c r="O98" i="18" s="1"/>
  <c r="K112" i="18"/>
  <c r="L144" i="18"/>
  <c r="L142" i="18" s="1"/>
  <c r="O337" i="18"/>
  <c r="O352" i="18"/>
  <c r="K402" i="18"/>
  <c r="K449" i="18"/>
  <c r="N43" i="15"/>
  <c r="N41" i="15" s="1"/>
  <c r="K173" i="15"/>
  <c r="K189" i="15"/>
  <c r="M43" i="16"/>
  <c r="N120" i="16"/>
  <c r="N118" i="16" s="1"/>
  <c r="K200" i="16"/>
  <c r="N34" i="16"/>
  <c r="N14" i="16" s="1"/>
  <c r="K370" i="16"/>
  <c r="K376" i="16"/>
  <c r="O401" i="16"/>
  <c r="K420" i="16"/>
  <c r="K450" i="16"/>
  <c r="L144" i="17"/>
  <c r="O144" i="17" s="1"/>
  <c r="K420" i="17"/>
  <c r="K426" i="17"/>
  <c r="K533" i="17"/>
  <c r="O564" i="17"/>
  <c r="K621" i="17"/>
  <c r="N55" i="18"/>
  <c r="P55" i="18" s="1"/>
  <c r="K482" i="18"/>
  <c r="O597" i="18"/>
  <c r="K616" i="18"/>
  <c r="K632" i="18"/>
  <c r="K665" i="18"/>
  <c r="K430" i="15"/>
  <c r="O537" i="15"/>
  <c r="P122" i="16"/>
  <c r="O352" i="16"/>
  <c r="K372" i="17"/>
  <c r="K449" i="17"/>
  <c r="K465" i="17"/>
  <c r="K474" i="17"/>
  <c r="J651" i="17"/>
  <c r="K88" i="18"/>
  <c r="N33" i="18"/>
  <c r="N13" i="18" s="1"/>
  <c r="K533" i="18"/>
  <c r="K564" i="18"/>
  <c r="N644" i="18"/>
  <c r="N640" i="18" s="1"/>
  <c r="N638" i="18" s="1"/>
  <c r="N636" i="18" s="1"/>
  <c r="O661" i="18"/>
  <c r="K618" i="14"/>
  <c r="L24" i="15"/>
  <c r="O24" i="15" s="1"/>
  <c r="P57" i="15"/>
  <c r="K370" i="15"/>
  <c r="K402" i="15"/>
  <c r="K498" i="15"/>
  <c r="K593" i="16"/>
  <c r="K626" i="16"/>
  <c r="L333" i="17"/>
  <c r="K634" i="17"/>
  <c r="K219" i="18"/>
  <c r="K270" i="18"/>
  <c r="L333" i="18"/>
  <c r="O333" i="18" s="1"/>
  <c r="N31" i="18"/>
  <c r="N29" i="18" s="1"/>
  <c r="K449" i="14"/>
  <c r="K551" i="14"/>
  <c r="K631" i="14"/>
  <c r="K83" i="15"/>
  <c r="K270" i="15"/>
  <c r="K350" i="15"/>
  <c r="N33" i="15"/>
  <c r="N13" i="15" s="1"/>
  <c r="K419" i="15"/>
  <c r="K425" i="15"/>
  <c r="K431" i="15"/>
  <c r="O459" i="15"/>
  <c r="K464" i="15"/>
  <c r="K533" i="15"/>
  <c r="K631" i="15"/>
  <c r="K649" i="15"/>
  <c r="L98" i="16"/>
  <c r="L96" i="16" s="1"/>
  <c r="L275" i="16"/>
  <c r="L273" i="16" s="1"/>
  <c r="O383" i="16"/>
  <c r="K401" i="16"/>
  <c r="K427" i="16"/>
  <c r="K432" i="16"/>
  <c r="O435" i="16"/>
  <c r="K449" i="16"/>
  <c r="K473" i="16"/>
  <c r="K482" i="16"/>
  <c r="O537" i="16"/>
  <c r="K624" i="16"/>
  <c r="K628" i="16"/>
  <c r="O651" i="16"/>
  <c r="L45" i="17"/>
  <c r="O45" i="17" s="1"/>
  <c r="K111" i="17"/>
  <c r="P144" i="17"/>
  <c r="N222" i="17"/>
  <c r="N220" i="17" s="1"/>
  <c r="K370" i="17"/>
  <c r="K376" i="17"/>
  <c r="N33" i="17"/>
  <c r="N13" i="17" s="1"/>
  <c r="K416" i="17"/>
  <c r="O439" i="17"/>
  <c r="K450" i="17"/>
  <c r="O537" i="17"/>
  <c r="O551" i="17"/>
  <c r="K632" i="17"/>
  <c r="K635" i="17"/>
  <c r="O661" i="17"/>
  <c r="P98" i="18"/>
  <c r="K158" i="18"/>
  <c r="K289" i="18"/>
  <c r="K304" i="18"/>
  <c r="K372" i="18"/>
  <c r="K375" i="18"/>
  <c r="K418" i="18"/>
  <c r="K423" i="18"/>
  <c r="K431" i="18"/>
  <c r="K497" i="18"/>
  <c r="O533" i="18"/>
  <c r="O599" i="18"/>
  <c r="K612" i="18"/>
  <c r="K650" i="18"/>
  <c r="O98" i="4"/>
  <c r="L96" i="4"/>
  <c r="M329" i="3"/>
  <c r="L57" i="2"/>
  <c r="O57" i="2" s="1"/>
  <c r="L122" i="2"/>
  <c r="O122" i="2" s="1"/>
  <c r="K229" i="2"/>
  <c r="I367" i="2"/>
  <c r="K367" i="2" s="1"/>
  <c r="K427" i="2"/>
  <c r="K593" i="2"/>
  <c r="K612" i="2"/>
  <c r="K614" i="2"/>
  <c r="K616" i="2"/>
  <c r="K618" i="2"/>
  <c r="K625" i="2"/>
  <c r="N43" i="3"/>
  <c r="N41" i="3" s="1"/>
  <c r="N55" i="3"/>
  <c r="N53" i="3" s="1"/>
  <c r="J135" i="1"/>
  <c r="M294" i="1"/>
  <c r="J300" i="1"/>
  <c r="P333" i="3"/>
  <c r="I339" i="1"/>
  <c r="K339" i="1" s="1"/>
  <c r="L568" i="1"/>
  <c r="N580" i="1"/>
  <c r="J623" i="1"/>
  <c r="L640" i="3"/>
  <c r="N55" i="4"/>
  <c r="P70" i="4"/>
  <c r="J132" i="1"/>
  <c r="J138" i="1"/>
  <c r="N222" i="4"/>
  <c r="N220" i="4" s="1"/>
  <c r="P220" i="4" s="1"/>
  <c r="J235" i="1"/>
  <c r="P337" i="4"/>
  <c r="M142" i="5"/>
  <c r="L314" i="5"/>
  <c r="L312" i="5" s="1"/>
  <c r="J323" i="1"/>
  <c r="K466" i="5"/>
  <c r="K564" i="5"/>
  <c r="M22" i="8"/>
  <c r="M12" i="8" s="1"/>
  <c r="P144" i="8"/>
  <c r="M142" i="8"/>
  <c r="M96" i="2"/>
  <c r="P96" i="2" s="1"/>
  <c r="K132" i="2"/>
  <c r="K270" i="2"/>
  <c r="O380" i="2"/>
  <c r="O385" i="2"/>
  <c r="K419" i="2"/>
  <c r="K422" i="2"/>
  <c r="K425" i="2"/>
  <c r="K430" i="2"/>
  <c r="O564" i="2"/>
  <c r="K623" i="2"/>
  <c r="L45" i="3"/>
  <c r="O45" i="3" s="1"/>
  <c r="J64" i="1"/>
  <c r="K64" i="1" s="1"/>
  <c r="J82" i="1"/>
  <c r="J88" i="1"/>
  <c r="N126" i="1"/>
  <c r="K158" i="3"/>
  <c r="J196" i="1"/>
  <c r="L224" i="3"/>
  <c r="L222" i="3" s="1"/>
  <c r="K249" i="3"/>
  <c r="K264" i="3"/>
  <c r="K267" i="3"/>
  <c r="L349" i="1"/>
  <c r="N533" i="1"/>
  <c r="O566" i="3"/>
  <c r="K616" i="3"/>
  <c r="J621" i="1"/>
  <c r="J667" i="1"/>
  <c r="P57" i="4"/>
  <c r="L70" i="4"/>
  <c r="L68" i="4" s="1"/>
  <c r="L66" i="4" s="1"/>
  <c r="P122" i="4"/>
  <c r="M140" i="4"/>
  <c r="L254" i="4"/>
  <c r="O254" i="4" s="1"/>
  <c r="K266" i="4"/>
  <c r="K285" i="4"/>
  <c r="K324" i="4"/>
  <c r="L333" i="4"/>
  <c r="O333" i="4" s="1"/>
  <c r="O349" i="4"/>
  <c r="K377" i="4"/>
  <c r="K425" i="4"/>
  <c r="K455" i="4"/>
  <c r="J476" i="1"/>
  <c r="K481" i="4"/>
  <c r="K499" i="4"/>
  <c r="K619" i="4"/>
  <c r="K630" i="4"/>
  <c r="M102" i="5"/>
  <c r="M26" i="5" s="1"/>
  <c r="K113" i="5"/>
  <c r="L144" i="5"/>
  <c r="O144" i="5" s="1"/>
  <c r="M222" i="5"/>
  <c r="N26" i="5"/>
  <c r="N16" i="5" s="1"/>
  <c r="K340" i="5"/>
  <c r="K343" i="5"/>
  <c r="K423" i="5"/>
  <c r="K573" i="5"/>
  <c r="K580" i="5"/>
  <c r="O582" i="5"/>
  <c r="N43" i="6"/>
  <c r="N41" i="6" s="1"/>
  <c r="K371" i="6"/>
  <c r="I367" i="6"/>
  <c r="K367" i="6" s="1"/>
  <c r="K533" i="6"/>
  <c r="L57" i="7"/>
  <c r="O57" i="7" s="1"/>
  <c r="L23" i="7"/>
  <c r="O23" i="7" s="1"/>
  <c r="L275" i="7"/>
  <c r="K401" i="7"/>
  <c r="K164" i="8"/>
  <c r="M220" i="8"/>
  <c r="K266" i="8"/>
  <c r="K589" i="8"/>
  <c r="K634" i="8"/>
  <c r="N68" i="3"/>
  <c r="J185" i="1"/>
  <c r="J188" i="1"/>
  <c r="J197" i="1"/>
  <c r="J213" i="1"/>
  <c r="J216" i="1"/>
  <c r="J243" i="1"/>
  <c r="N252" i="3"/>
  <c r="N250" i="3" s="1"/>
  <c r="J267" i="1"/>
  <c r="N34" i="3"/>
  <c r="N14" i="3" s="1"/>
  <c r="N31" i="3"/>
  <c r="N29" i="3" s="1"/>
  <c r="L564" i="1"/>
  <c r="J658" i="1"/>
  <c r="J665" i="1"/>
  <c r="J672" i="1"/>
  <c r="J361" i="1"/>
  <c r="J550" i="1"/>
  <c r="J620" i="1"/>
  <c r="J633" i="1"/>
  <c r="J265" i="1"/>
  <c r="K265" i="1" s="1"/>
  <c r="I367" i="5"/>
  <c r="K367" i="5" s="1"/>
  <c r="P314" i="8"/>
  <c r="M312" i="8"/>
  <c r="N26" i="2"/>
  <c r="N16" i="2" s="1"/>
  <c r="P122" i="2"/>
  <c r="L275" i="2"/>
  <c r="O275" i="2" s="1"/>
  <c r="K381" i="2"/>
  <c r="K398" i="2"/>
  <c r="O401" i="2"/>
  <c r="O404" i="2"/>
  <c r="K417" i="2"/>
  <c r="K420" i="2"/>
  <c r="K423" i="2"/>
  <c r="K431" i="2"/>
  <c r="K455" i="2"/>
  <c r="O459" i="2"/>
  <c r="O537" i="2"/>
  <c r="O568" i="2"/>
  <c r="K611" i="2"/>
  <c r="K613" i="2"/>
  <c r="K615" i="2"/>
  <c r="K617" i="2"/>
  <c r="P70" i="3"/>
  <c r="N96" i="3"/>
  <c r="N94" i="3" s="1"/>
  <c r="J160" i="1"/>
  <c r="K173" i="3"/>
  <c r="J181" i="1"/>
  <c r="I189" i="1"/>
  <c r="K201" i="3"/>
  <c r="P254" i="3"/>
  <c r="K265" i="3"/>
  <c r="P275" i="3"/>
  <c r="K285" i="3"/>
  <c r="I345" i="1"/>
  <c r="K377" i="3"/>
  <c r="O380" i="3"/>
  <c r="K397" i="3"/>
  <c r="J425" i="1"/>
  <c r="K435" i="3"/>
  <c r="O439" i="3"/>
  <c r="N557" i="1"/>
  <c r="I561" i="1"/>
  <c r="J589" i="1"/>
  <c r="N600" i="1"/>
  <c r="N605" i="1"/>
  <c r="J611" i="1"/>
  <c r="K614" i="3"/>
  <c r="K634" i="3"/>
  <c r="K93" i="4"/>
  <c r="N96" i="4"/>
  <c r="N94" i="4" s="1"/>
  <c r="K199" i="4"/>
  <c r="J201" i="1"/>
  <c r="J218" i="1"/>
  <c r="P314" i="4"/>
  <c r="M331" i="4"/>
  <c r="K345" i="4"/>
  <c r="N352" i="1"/>
  <c r="O383" i="4"/>
  <c r="K421" i="4"/>
  <c r="J433" i="1"/>
  <c r="O439" i="4"/>
  <c r="J445" i="1"/>
  <c r="K464" i="4"/>
  <c r="K474" i="4"/>
  <c r="K547" i="4"/>
  <c r="K551" i="4"/>
  <c r="K595" i="4"/>
  <c r="K628" i="4"/>
  <c r="K634" i="4"/>
  <c r="O661" i="4"/>
  <c r="P57" i="5"/>
  <c r="K108" i="5"/>
  <c r="K111" i="5"/>
  <c r="J114" i="1"/>
  <c r="J262" i="1"/>
  <c r="O337" i="5"/>
  <c r="K380" i="5"/>
  <c r="O401" i="5"/>
  <c r="K450" i="5"/>
  <c r="K465" i="5"/>
  <c r="K499" i="5"/>
  <c r="K111" i="6"/>
  <c r="K132" i="6"/>
  <c r="L34" i="6"/>
  <c r="J412" i="1"/>
  <c r="O599" i="6"/>
  <c r="K235" i="7"/>
  <c r="O354" i="7"/>
  <c r="M53" i="8"/>
  <c r="K473" i="8"/>
  <c r="K497" i="8"/>
  <c r="K597" i="8"/>
  <c r="M22" i="2"/>
  <c r="M20" i="2" s="1"/>
  <c r="K149" i="2"/>
  <c r="P224" i="2"/>
  <c r="K345" i="2"/>
  <c r="K396" i="2"/>
  <c r="K449" i="2"/>
  <c r="K465" i="2"/>
  <c r="J156" i="1"/>
  <c r="J169" i="1"/>
  <c r="J234" i="1"/>
  <c r="J285" i="1"/>
  <c r="L316" i="1"/>
  <c r="I343" i="1"/>
  <c r="N355" i="1"/>
  <c r="J362" i="1"/>
  <c r="J366" i="1"/>
  <c r="I375" i="1"/>
  <c r="J544" i="1"/>
  <c r="J634" i="1"/>
  <c r="O102" i="4"/>
  <c r="J199" i="1"/>
  <c r="I367" i="4"/>
  <c r="K367" i="4" s="1"/>
  <c r="J413" i="1"/>
  <c r="L458" i="1"/>
  <c r="O458" i="1" s="1"/>
  <c r="J575" i="1"/>
  <c r="O148" i="8"/>
  <c r="M220" i="2"/>
  <c r="K595" i="2"/>
  <c r="M66" i="3"/>
  <c r="J104" i="1"/>
  <c r="M120" i="3"/>
  <c r="P120" i="3" s="1"/>
  <c r="N32" i="3"/>
  <c r="N30" i="3" s="1"/>
  <c r="N572" i="1"/>
  <c r="J578" i="1"/>
  <c r="K612" i="3"/>
  <c r="N22" i="4"/>
  <c r="M292" i="4"/>
  <c r="P292" i="4" s="1"/>
  <c r="N31" i="4"/>
  <c r="N644" i="4"/>
  <c r="N640" i="4" s="1"/>
  <c r="N638" i="4" s="1"/>
  <c r="N636" i="4" s="1"/>
  <c r="K132" i="5"/>
  <c r="J342" i="1"/>
  <c r="J360" i="1"/>
  <c r="J365" i="1"/>
  <c r="J368" i="1"/>
  <c r="J374" i="1"/>
  <c r="N389" i="1"/>
  <c r="J396" i="1"/>
  <c r="O404" i="5"/>
  <c r="N33" i="5"/>
  <c r="N13" i="5" s="1"/>
  <c r="M53" i="6"/>
  <c r="P254" i="8"/>
  <c r="M252" i="8"/>
  <c r="P275" i="10"/>
  <c r="M273" i="10"/>
  <c r="M271" i="10" s="1"/>
  <c r="M118" i="11"/>
  <c r="K595" i="5"/>
  <c r="K628" i="5"/>
  <c r="K631" i="5"/>
  <c r="K634" i="5"/>
  <c r="P57" i="6"/>
  <c r="J86" i="1"/>
  <c r="K88" i="6"/>
  <c r="K93" i="6"/>
  <c r="L224" i="6"/>
  <c r="O347" i="6"/>
  <c r="N32" i="6"/>
  <c r="N30" i="6" s="1"/>
  <c r="K376" i="6"/>
  <c r="O401" i="6"/>
  <c r="O406" i="6"/>
  <c r="K417" i="6"/>
  <c r="K429" i="6"/>
  <c r="K449" i="6"/>
  <c r="K474" i="6"/>
  <c r="K499" i="6"/>
  <c r="K619" i="6"/>
  <c r="K629" i="6"/>
  <c r="O661" i="6"/>
  <c r="K87" i="7"/>
  <c r="P98" i="7"/>
  <c r="K109" i="7"/>
  <c r="K138" i="7"/>
  <c r="K204" i="7"/>
  <c r="L254" i="7"/>
  <c r="L252" i="7" s="1"/>
  <c r="O252" i="7" s="1"/>
  <c r="M292" i="7"/>
  <c r="P292" i="7" s="1"/>
  <c r="L294" i="7"/>
  <c r="O294" i="7" s="1"/>
  <c r="K345" i="7"/>
  <c r="K368" i="7"/>
  <c r="K419" i="7"/>
  <c r="K425" i="7"/>
  <c r="K431" i="7"/>
  <c r="I517" i="1"/>
  <c r="I520" i="1"/>
  <c r="I523" i="1"/>
  <c r="I526" i="1"/>
  <c r="I529" i="1"/>
  <c r="I532" i="1"/>
  <c r="N31" i="7"/>
  <c r="N29" i="7" s="1"/>
  <c r="J593" i="1"/>
  <c r="N598" i="1"/>
  <c r="K612" i="7"/>
  <c r="K624" i="7"/>
  <c r="K630" i="7"/>
  <c r="K173" i="8"/>
  <c r="K189" i="8"/>
  <c r="L224" i="8"/>
  <c r="L222" i="8" s="1"/>
  <c r="K270" i="8"/>
  <c r="O354" i="8"/>
  <c r="O380" i="8"/>
  <c r="K396" i="8"/>
  <c r="O406" i="8"/>
  <c r="K426" i="8"/>
  <c r="K464" i="8"/>
  <c r="O580" i="8"/>
  <c r="K618" i="8"/>
  <c r="K615" i="8"/>
  <c r="M68" i="9"/>
  <c r="M96" i="9"/>
  <c r="L333" i="9"/>
  <c r="O333" i="9" s="1"/>
  <c r="L45" i="10"/>
  <c r="O45" i="10" s="1"/>
  <c r="K164" i="10"/>
  <c r="L224" i="10"/>
  <c r="O224" i="10" s="1"/>
  <c r="P333" i="10"/>
  <c r="O437" i="10"/>
  <c r="O405" i="11"/>
  <c r="L33" i="11"/>
  <c r="O33" i="11" s="1"/>
  <c r="K593" i="5"/>
  <c r="J84" i="1"/>
  <c r="N33" i="6"/>
  <c r="N13" i="6" s="1"/>
  <c r="N34" i="8"/>
  <c r="N14" i="8" s="1"/>
  <c r="M55" i="9"/>
  <c r="P57" i="9"/>
  <c r="P314" i="10"/>
  <c r="M312" i="10"/>
  <c r="P312" i="10" s="1"/>
  <c r="N602" i="1"/>
  <c r="K635" i="5"/>
  <c r="K110" i="6"/>
  <c r="K117" i="6"/>
  <c r="K158" i="6"/>
  <c r="K249" i="6"/>
  <c r="K264" i="6"/>
  <c r="N331" i="6"/>
  <c r="K340" i="6"/>
  <c r="K343" i="6"/>
  <c r="K350" i="6"/>
  <c r="K372" i="6"/>
  <c r="O385" i="6"/>
  <c r="O404" i="6"/>
  <c r="K425" i="6"/>
  <c r="O437" i="6"/>
  <c r="K465" i="6"/>
  <c r="K497" i="6"/>
  <c r="N31" i="6"/>
  <c r="N29" i="6" s="1"/>
  <c r="K650" i="6"/>
  <c r="O49" i="7"/>
  <c r="K113" i="7"/>
  <c r="M120" i="7"/>
  <c r="P120" i="7" s="1"/>
  <c r="K219" i="7"/>
  <c r="P275" i="7"/>
  <c r="L314" i="7"/>
  <c r="L312" i="7" s="1"/>
  <c r="N331" i="7"/>
  <c r="N329" i="7" s="1"/>
  <c r="K341" i="7"/>
  <c r="K396" i="7"/>
  <c r="K417" i="7"/>
  <c r="K423" i="7"/>
  <c r="K429" i="7"/>
  <c r="K455" i="7"/>
  <c r="K533" i="7"/>
  <c r="K580" i="7"/>
  <c r="K620" i="7"/>
  <c r="P70" i="8"/>
  <c r="N26" i="8"/>
  <c r="N16" i="8" s="1"/>
  <c r="K80" i="8"/>
  <c r="K110" i="8"/>
  <c r="K149" i="8"/>
  <c r="K215" i="8"/>
  <c r="K219" i="8"/>
  <c r="K265" i="8"/>
  <c r="M337" i="8"/>
  <c r="M331" i="8" s="1"/>
  <c r="K350" i="8"/>
  <c r="N32" i="8"/>
  <c r="N30" i="8" s="1"/>
  <c r="I367" i="8"/>
  <c r="K367" i="8" s="1"/>
  <c r="K422" i="8"/>
  <c r="O437" i="8"/>
  <c r="O457" i="8"/>
  <c r="K611" i="8"/>
  <c r="K633" i="8"/>
  <c r="N55" i="9"/>
  <c r="N53" i="9" s="1"/>
  <c r="O102" i="9"/>
  <c r="K173" i="9"/>
  <c r="N32" i="9"/>
  <c r="N30" i="9" s="1"/>
  <c r="K616" i="9"/>
  <c r="P70" i="10"/>
  <c r="L294" i="10"/>
  <c r="K428" i="10"/>
  <c r="K464" i="10"/>
  <c r="K547" i="10"/>
  <c r="K625" i="10"/>
  <c r="K624" i="10"/>
  <c r="K626" i="10"/>
  <c r="K622" i="10"/>
  <c r="N644" i="5"/>
  <c r="N640" i="5" s="1"/>
  <c r="N638" i="5" s="1"/>
  <c r="N636" i="5" s="1"/>
  <c r="L144" i="6"/>
  <c r="O144" i="6" s="1"/>
  <c r="K370" i="6"/>
  <c r="K375" i="6"/>
  <c r="K423" i="6"/>
  <c r="O435" i="6"/>
  <c r="K473" i="6"/>
  <c r="O650" i="6"/>
  <c r="N644" i="6"/>
  <c r="N640" i="6" s="1"/>
  <c r="N638" i="6" s="1"/>
  <c r="N636" i="6" s="1"/>
  <c r="M140" i="7"/>
  <c r="K619" i="7"/>
  <c r="K618" i="7"/>
  <c r="N644" i="7"/>
  <c r="N640" i="7" s="1"/>
  <c r="N638" i="7" s="1"/>
  <c r="N636" i="7" s="1"/>
  <c r="L24" i="8"/>
  <c r="O24" i="8" s="1"/>
  <c r="O74" i="8"/>
  <c r="M292" i="8"/>
  <c r="K418" i="9"/>
  <c r="K619" i="9"/>
  <c r="K618" i="9"/>
  <c r="K612" i="9"/>
  <c r="O380" i="10"/>
  <c r="O457" i="10"/>
  <c r="M55" i="11"/>
  <c r="P57" i="11"/>
  <c r="K630" i="5"/>
  <c r="K81" i="6"/>
  <c r="L98" i="6"/>
  <c r="O98" i="6" s="1"/>
  <c r="P224" i="6"/>
  <c r="K235" i="6"/>
  <c r="P254" i="6"/>
  <c r="N22" i="6"/>
  <c r="L333" i="6"/>
  <c r="O333" i="6" s="1"/>
  <c r="K381" i="6"/>
  <c r="K421" i="6"/>
  <c r="K455" i="6"/>
  <c r="K481" i="6"/>
  <c r="K547" i="6"/>
  <c r="K564" i="6"/>
  <c r="O566" i="6"/>
  <c r="P45" i="7"/>
  <c r="P57" i="7"/>
  <c r="K64" i="7"/>
  <c r="O102" i="7"/>
  <c r="K111" i="7"/>
  <c r="P144" i="7"/>
  <c r="K158" i="7"/>
  <c r="K189" i="7"/>
  <c r="M22" i="7"/>
  <c r="M12" i="7" s="1"/>
  <c r="O349" i="7"/>
  <c r="K372" i="7"/>
  <c r="K375" i="7"/>
  <c r="O380" i="7"/>
  <c r="O383" i="7"/>
  <c r="N34" i="7"/>
  <c r="N14" i="7" s="1"/>
  <c r="K499" i="7"/>
  <c r="K616" i="7"/>
  <c r="O49" i="8"/>
  <c r="N96" i="8"/>
  <c r="N94" i="8" s="1"/>
  <c r="M120" i="8"/>
  <c r="M118" i="8" s="1"/>
  <c r="K200" i="8"/>
  <c r="K204" i="8"/>
  <c r="L294" i="8"/>
  <c r="O294" i="8" s="1"/>
  <c r="K370" i="8"/>
  <c r="K418" i="8"/>
  <c r="K430" i="8"/>
  <c r="O535" i="8"/>
  <c r="O584" i="8"/>
  <c r="K629" i="8"/>
  <c r="K229" i="9"/>
  <c r="K482" i="9"/>
  <c r="K64" i="10"/>
  <c r="O601" i="10"/>
  <c r="K132" i="11"/>
  <c r="L122" i="9"/>
  <c r="O122" i="9" s="1"/>
  <c r="K398" i="9"/>
  <c r="K473" i="9"/>
  <c r="K497" i="9"/>
  <c r="O582" i="9"/>
  <c r="K597" i="9"/>
  <c r="K626" i="9"/>
  <c r="M120" i="10"/>
  <c r="O580" i="10"/>
  <c r="K614" i="10"/>
  <c r="K620" i="10"/>
  <c r="N43" i="11"/>
  <c r="N41" i="11" s="1"/>
  <c r="P122" i="11"/>
  <c r="K368" i="11"/>
  <c r="L57" i="9"/>
  <c r="O57" i="9" s="1"/>
  <c r="N252" i="9"/>
  <c r="N250" i="9" s="1"/>
  <c r="M292" i="9"/>
  <c r="P292" i="9" s="1"/>
  <c r="J303" i="1"/>
  <c r="K343" i="9"/>
  <c r="N31" i="9"/>
  <c r="K614" i="9"/>
  <c r="K624" i="9"/>
  <c r="L70" i="10"/>
  <c r="L68" i="10" s="1"/>
  <c r="K86" i="10"/>
  <c r="L122" i="10"/>
  <c r="O122" i="10" s="1"/>
  <c r="K465" i="10"/>
  <c r="O537" i="10"/>
  <c r="O566" i="10"/>
  <c r="K629" i="10"/>
  <c r="O406" i="11"/>
  <c r="K430" i="11"/>
  <c r="O435" i="11"/>
  <c r="O455" i="11"/>
  <c r="K473" i="11"/>
  <c r="O584" i="11"/>
  <c r="P45" i="9"/>
  <c r="K219" i="9"/>
  <c r="O337" i="9"/>
  <c r="K341" i="9"/>
  <c r="K377" i="9"/>
  <c r="K396" i="9"/>
  <c r="K435" i="9"/>
  <c r="K481" i="9"/>
  <c r="O568" i="9"/>
  <c r="K573" i="9"/>
  <c r="O580" i="9"/>
  <c r="K622" i="9"/>
  <c r="O650" i="9"/>
  <c r="K499" i="10"/>
  <c r="O564" i="10"/>
  <c r="K618" i="10"/>
  <c r="K630" i="10"/>
  <c r="L70" i="11"/>
  <c r="L68" i="11" s="1"/>
  <c r="P144" i="11"/>
  <c r="M142" i="11"/>
  <c r="N252" i="11"/>
  <c r="N250" i="11" s="1"/>
  <c r="O354" i="11"/>
  <c r="K381" i="11"/>
  <c r="K425" i="11"/>
  <c r="K612" i="11"/>
  <c r="N644" i="11"/>
  <c r="N640" i="11" s="1"/>
  <c r="N638" i="11" s="1"/>
  <c r="N636" i="11" s="1"/>
  <c r="K450" i="9"/>
  <c r="O566" i="9"/>
  <c r="K158" i="10"/>
  <c r="N252" i="10"/>
  <c r="N250" i="10" s="1"/>
  <c r="M331" i="10"/>
  <c r="M329" i="10" s="1"/>
  <c r="O347" i="10"/>
  <c r="K473" i="10"/>
  <c r="K497" i="10"/>
  <c r="K580" i="10"/>
  <c r="K619" i="10"/>
  <c r="K84" i="11"/>
  <c r="P254" i="11"/>
  <c r="M252" i="11"/>
  <c r="M250" i="11" s="1"/>
  <c r="K149" i="9"/>
  <c r="O349" i="9"/>
  <c r="K465" i="9"/>
  <c r="O564" i="9"/>
  <c r="K629" i="9"/>
  <c r="K632" i="9"/>
  <c r="O668" i="9"/>
  <c r="N68" i="10"/>
  <c r="N66" i="10" s="1"/>
  <c r="L144" i="10"/>
  <c r="O144" i="10" s="1"/>
  <c r="K285" i="10"/>
  <c r="N331" i="10"/>
  <c r="N329" i="10" s="1"/>
  <c r="K345" i="10"/>
  <c r="K597" i="10"/>
  <c r="K628" i="10"/>
  <c r="L224" i="11"/>
  <c r="O224" i="11" s="1"/>
  <c r="K376" i="11"/>
  <c r="K418" i="11"/>
  <c r="K426" i="11"/>
  <c r="O459" i="11"/>
  <c r="M252" i="13"/>
  <c r="M250" i="13" s="1"/>
  <c r="P250" i="13" s="1"/>
  <c r="P254" i="13"/>
  <c r="M220" i="11"/>
  <c r="M312" i="11"/>
  <c r="P312" i="11" s="1"/>
  <c r="O337" i="11"/>
  <c r="I367" i="11"/>
  <c r="K367" i="11" s="1"/>
  <c r="K435" i="11"/>
  <c r="K589" i="11"/>
  <c r="K620" i="11"/>
  <c r="J671" i="11"/>
  <c r="M222" i="12"/>
  <c r="M252" i="12"/>
  <c r="M337" i="12"/>
  <c r="M26" i="12" s="1"/>
  <c r="I367" i="12"/>
  <c r="K367" i="12" s="1"/>
  <c r="M292" i="13"/>
  <c r="M250" i="14"/>
  <c r="P250" i="14" s="1"/>
  <c r="P252" i="14"/>
  <c r="N33" i="14"/>
  <c r="N13" i="14" s="1"/>
  <c r="M41" i="15"/>
  <c r="K164" i="11"/>
  <c r="K199" i="11"/>
  <c r="K264" i="11"/>
  <c r="K397" i="11"/>
  <c r="K499" i="11"/>
  <c r="O568" i="11"/>
  <c r="K573" i="11"/>
  <c r="K634" i="11"/>
  <c r="K92" i="12"/>
  <c r="K132" i="12"/>
  <c r="K158" i="12"/>
  <c r="K173" i="12"/>
  <c r="L224" i="12"/>
  <c r="L222" i="12" s="1"/>
  <c r="L254" i="12"/>
  <c r="O254" i="12" s="1"/>
  <c r="K265" i="12"/>
  <c r="M312" i="12"/>
  <c r="K349" i="12"/>
  <c r="K372" i="12"/>
  <c r="K398" i="12"/>
  <c r="K426" i="12"/>
  <c r="O459" i="12"/>
  <c r="K464" i="12"/>
  <c r="K630" i="12"/>
  <c r="K343" i="13"/>
  <c r="K465" i="13"/>
  <c r="P275" i="14"/>
  <c r="M273" i="14"/>
  <c r="K497" i="11"/>
  <c r="O566" i="11"/>
  <c r="K632" i="11"/>
  <c r="L314" i="12"/>
  <c r="O314" i="12" s="1"/>
  <c r="K370" i="12"/>
  <c r="K396" i="12"/>
  <c r="O406" i="12"/>
  <c r="K424" i="12"/>
  <c r="O439" i="12"/>
  <c r="O457" i="12"/>
  <c r="K474" i="12"/>
  <c r="K498" i="12"/>
  <c r="K613" i="12"/>
  <c r="L640" i="12"/>
  <c r="L638" i="12" s="1"/>
  <c r="N22" i="13"/>
  <c r="O298" i="13"/>
  <c r="K341" i="13"/>
  <c r="K473" i="13"/>
  <c r="O74" i="14"/>
  <c r="P224" i="14"/>
  <c r="K377" i="14"/>
  <c r="K618" i="12"/>
  <c r="K611" i="12"/>
  <c r="K619" i="12"/>
  <c r="K345" i="11"/>
  <c r="K398" i="11"/>
  <c r="O401" i="11"/>
  <c r="K481" i="11"/>
  <c r="K580" i="11"/>
  <c r="K593" i="11"/>
  <c r="K624" i="11"/>
  <c r="K628" i="11"/>
  <c r="K93" i="12"/>
  <c r="P144" i="12"/>
  <c r="K200" i="12"/>
  <c r="K402" i="12"/>
  <c r="K420" i="12"/>
  <c r="K432" i="12"/>
  <c r="O435" i="12"/>
  <c r="K482" i="12"/>
  <c r="K547" i="12"/>
  <c r="K164" i="13"/>
  <c r="K499" i="13"/>
  <c r="K341" i="14"/>
  <c r="K421" i="14"/>
  <c r="M220" i="15"/>
  <c r="P222" i="15"/>
  <c r="K665" i="12"/>
  <c r="M68" i="13"/>
  <c r="P68" i="13" s="1"/>
  <c r="L24" i="13"/>
  <c r="O24" i="13" s="1"/>
  <c r="K199" i="13"/>
  <c r="O404" i="13"/>
  <c r="N34" i="13"/>
  <c r="N14" i="13" s="1"/>
  <c r="K617" i="13"/>
  <c r="P45" i="14"/>
  <c r="K92" i="14"/>
  <c r="M222" i="14"/>
  <c r="O380" i="14"/>
  <c r="K482" i="14"/>
  <c r="K560" i="14"/>
  <c r="K593" i="14"/>
  <c r="K619" i="14"/>
  <c r="K635" i="14"/>
  <c r="P45" i="15"/>
  <c r="K149" i="15"/>
  <c r="K158" i="15"/>
  <c r="K199" i="15"/>
  <c r="L254" i="15"/>
  <c r="L252" i="15" s="1"/>
  <c r="O535" i="12"/>
  <c r="K617" i="12"/>
  <c r="K628" i="12"/>
  <c r="J651" i="12"/>
  <c r="L57" i="13"/>
  <c r="O57" i="13" s="1"/>
  <c r="L222" i="13"/>
  <c r="M331" i="13"/>
  <c r="M329" i="13" s="1"/>
  <c r="O385" i="13"/>
  <c r="N32" i="13"/>
  <c r="N30" i="13" s="1"/>
  <c r="K423" i="13"/>
  <c r="K449" i="13"/>
  <c r="K455" i="13"/>
  <c r="K564" i="13"/>
  <c r="O582" i="13"/>
  <c r="K635" i="13"/>
  <c r="L57" i="14"/>
  <c r="K110" i="14"/>
  <c r="K235" i="14"/>
  <c r="L275" i="14"/>
  <c r="O275" i="14" s="1"/>
  <c r="K381" i="14"/>
  <c r="K547" i="14"/>
  <c r="K617" i="14"/>
  <c r="L45" i="15"/>
  <c r="O45" i="15" s="1"/>
  <c r="K138" i="15"/>
  <c r="O228" i="15"/>
  <c r="I367" i="15"/>
  <c r="K367" i="15" s="1"/>
  <c r="K369" i="15"/>
  <c r="N33" i="13"/>
  <c r="N13" i="13" s="1"/>
  <c r="N26" i="14"/>
  <c r="N16" i="14" s="1"/>
  <c r="M271" i="15"/>
  <c r="O597" i="12"/>
  <c r="K615" i="12"/>
  <c r="N26" i="13"/>
  <c r="N16" i="13" s="1"/>
  <c r="K132" i="13"/>
  <c r="K149" i="13"/>
  <c r="K158" i="13"/>
  <c r="L275" i="13"/>
  <c r="L273" i="13" s="1"/>
  <c r="P333" i="13"/>
  <c r="K421" i="13"/>
  <c r="K424" i="13"/>
  <c r="K427" i="13"/>
  <c r="K618" i="13"/>
  <c r="K628" i="13"/>
  <c r="N96" i="14"/>
  <c r="N94" i="14" s="1"/>
  <c r="P144" i="14"/>
  <c r="K149" i="14"/>
  <c r="K158" i="14"/>
  <c r="K189" i="14"/>
  <c r="K199" i="14"/>
  <c r="K285" i="14"/>
  <c r="I367" i="14"/>
  <c r="K367" i="14" s="1"/>
  <c r="K380" i="14"/>
  <c r="K396" i="14"/>
  <c r="K464" i="14"/>
  <c r="K613" i="14"/>
  <c r="K629" i="14"/>
  <c r="P294" i="15"/>
  <c r="M292" i="15"/>
  <c r="O347" i="15"/>
  <c r="K381" i="15"/>
  <c r="M140" i="16"/>
  <c r="K635" i="12"/>
  <c r="L144" i="13"/>
  <c r="K285" i="13"/>
  <c r="K328" i="13"/>
  <c r="L333" i="13"/>
  <c r="L331" i="13" s="1"/>
  <c r="L329" i="13" s="1"/>
  <c r="K376" i="13"/>
  <c r="K381" i="13"/>
  <c r="K398" i="13"/>
  <c r="O537" i="13"/>
  <c r="K591" i="13"/>
  <c r="K611" i="13"/>
  <c r="K629" i="13"/>
  <c r="N644" i="13"/>
  <c r="N640" i="13" s="1"/>
  <c r="N638" i="13" s="1"/>
  <c r="N636" i="13" s="1"/>
  <c r="L98" i="14"/>
  <c r="L144" i="14"/>
  <c r="L142" i="14" s="1"/>
  <c r="K173" i="14"/>
  <c r="L294" i="14"/>
  <c r="O294" i="14" s="1"/>
  <c r="M312" i="14"/>
  <c r="K372" i="14"/>
  <c r="N31" i="14"/>
  <c r="N11" i="14" s="1"/>
  <c r="N9" i="14" s="1"/>
  <c r="K416" i="14"/>
  <c r="K428" i="14"/>
  <c r="O457" i="14"/>
  <c r="K474" i="14"/>
  <c r="K498" i="14"/>
  <c r="O551" i="14"/>
  <c r="K589" i="14"/>
  <c r="K595" i="14"/>
  <c r="O597" i="14"/>
  <c r="N292" i="15"/>
  <c r="P314" i="15"/>
  <c r="M312" i="15"/>
  <c r="P312" i="15" s="1"/>
  <c r="O337" i="15"/>
  <c r="K349" i="15"/>
  <c r="K372" i="15"/>
  <c r="K401" i="15"/>
  <c r="J651" i="15"/>
  <c r="K651" i="15" s="1"/>
  <c r="L57" i="16"/>
  <c r="O57" i="16" s="1"/>
  <c r="M74" i="16"/>
  <c r="P144" i="16"/>
  <c r="M312" i="16"/>
  <c r="P312" i="16" s="1"/>
  <c r="O439" i="16"/>
  <c r="O455" i="16"/>
  <c r="O564" i="16"/>
  <c r="K621" i="16"/>
  <c r="K623" i="16"/>
  <c r="L98" i="17"/>
  <c r="O98" i="17" s="1"/>
  <c r="K112" i="17"/>
  <c r="K200" i="17"/>
  <c r="M273" i="17"/>
  <c r="N312" i="17"/>
  <c r="N310" i="17" s="1"/>
  <c r="P294" i="18"/>
  <c r="M292" i="18"/>
  <c r="N312" i="18"/>
  <c r="N310" i="18" s="1"/>
  <c r="N26" i="15"/>
  <c r="N16" i="15" s="1"/>
  <c r="K229" i="15"/>
  <c r="L314" i="15"/>
  <c r="O314" i="15" s="1"/>
  <c r="O665" i="15"/>
  <c r="N43" i="16"/>
  <c r="N41" i="16" s="1"/>
  <c r="K88" i="16"/>
  <c r="M120" i="16"/>
  <c r="K149" i="16"/>
  <c r="P224" i="16"/>
  <c r="K345" i="16"/>
  <c r="K426" i="16"/>
  <c r="K634" i="16"/>
  <c r="L31" i="17"/>
  <c r="O31" i="17" s="1"/>
  <c r="K92" i="17"/>
  <c r="K110" i="17"/>
  <c r="N31" i="17"/>
  <c r="N29" i="17" s="1"/>
  <c r="K64" i="15"/>
  <c r="O148" i="15"/>
  <c r="N220" i="15"/>
  <c r="M252" i="15"/>
  <c r="K328" i="15"/>
  <c r="L333" i="15"/>
  <c r="L331" i="15" s="1"/>
  <c r="K368" i="15"/>
  <c r="K398" i="15"/>
  <c r="O439" i="15"/>
  <c r="O535" i="15"/>
  <c r="P49" i="16"/>
  <c r="K80" i="16"/>
  <c r="L122" i="16"/>
  <c r="O122" i="16" s="1"/>
  <c r="K133" i="16"/>
  <c r="M331" i="16"/>
  <c r="L24" i="16"/>
  <c r="O24" i="16" s="1"/>
  <c r="K340" i="16"/>
  <c r="O354" i="16"/>
  <c r="O406" i="16"/>
  <c r="K424" i="16"/>
  <c r="K435" i="16"/>
  <c r="O437" i="16"/>
  <c r="K451" i="16"/>
  <c r="K466" i="16"/>
  <c r="K498" i="16"/>
  <c r="K547" i="16"/>
  <c r="K573" i="16"/>
  <c r="K632" i="16"/>
  <c r="J651" i="16"/>
  <c r="K651" i="16" s="1"/>
  <c r="O102" i="17"/>
  <c r="K108" i="17"/>
  <c r="L254" i="17"/>
  <c r="L252" i="17" s="1"/>
  <c r="L275" i="17"/>
  <c r="M292" i="17"/>
  <c r="P292" i="17" s="1"/>
  <c r="L294" i="17"/>
  <c r="O294" i="17" s="1"/>
  <c r="K427" i="17"/>
  <c r="L32" i="18"/>
  <c r="L30" i="18" s="1"/>
  <c r="K420" i="18"/>
  <c r="O601" i="18"/>
  <c r="O380" i="16"/>
  <c r="O404" i="16"/>
  <c r="K422" i="16"/>
  <c r="K474" i="16"/>
  <c r="K533" i="16"/>
  <c r="K564" i="16"/>
  <c r="O601" i="16"/>
  <c r="N43" i="17"/>
  <c r="M66" i="17"/>
  <c r="P66" i="17" s="1"/>
  <c r="K199" i="17"/>
  <c r="K266" i="17"/>
  <c r="K341" i="17"/>
  <c r="O352" i="17"/>
  <c r="L32" i="17"/>
  <c r="L30" i="17" s="1"/>
  <c r="K618" i="17"/>
  <c r="K617" i="17"/>
  <c r="K619" i="17"/>
  <c r="K611" i="17"/>
  <c r="K613" i="17"/>
  <c r="K665" i="17"/>
  <c r="O649" i="15"/>
  <c r="O49" i="16"/>
  <c r="K189" i="16"/>
  <c r="L224" i="16"/>
  <c r="O224" i="16" s="1"/>
  <c r="N312" i="16"/>
  <c r="N32" i="16"/>
  <c r="N30" i="16" s="1"/>
  <c r="P333" i="17"/>
  <c r="M331" i="17"/>
  <c r="M329" i="17" s="1"/>
  <c r="O649" i="17"/>
  <c r="L640" i="17"/>
  <c r="O404" i="18"/>
  <c r="N32" i="18"/>
  <c r="N30" i="18" s="1"/>
  <c r="L648" i="1"/>
  <c r="K164" i="15"/>
  <c r="N34" i="15"/>
  <c r="N14" i="15" s="1"/>
  <c r="K573" i="15"/>
  <c r="K219" i="16"/>
  <c r="K341" i="16"/>
  <c r="O347" i="16"/>
  <c r="K375" i="16"/>
  <c r="J89" i="1"/>
  <c r="K173" i="17"/>
  <c r="L33" i="18"/>
  <c r="O33" i="18" s="1"/>
  <c r="O384" i="18"/>
  <c r="P98" i="17"/>
  <c r="K117" i="17"/>
  <c r="K340" i="17"/>
  <c r="K349" i="17"/>
  <c r="K377" i="17"/>
  <c r="O380" i="17"/>
  <c r="K418" i="17"/>
  <c r="K430" i="17"/>
  <c r="K464" i="17"/>
  <c r="K473" i="17"/>
  <c r="K498" i="17"/>
  <c r="K551" i="17"/>
  <c r="O555" i="17"/>
  <c r="O566" i="17"/>
  <c r="O597" i="17"/>
  <c r="K629" i="17"/>
  <c r="K82" i="18"/>
  <c r="K109" i="18"/>
  <c r="K235" i="18"/>
  <c r="K265" i="18"/>
  <c r="K340" i="18"/>
  <c r="K343" i="18"/>
  <c r="K376" i="18"/>
  <c r="K380" i="18"/>
  <c r="K396" i="18"/>
  <c r="K425" i="18"/>
  <c r="K455" i="18"/>
  <c r="K481" i="18"/>
  <c r="K498" i="18"/>
  <c r="O564" i="18"/>
  <c r="K593" i="18"/>
  <c r="K614" i="18"/>
  <c r="K626" i="18"/>
  <c r="K630" i="18"/>
  <c r="O651" i="18"/>
  <c r="N26" i="18"/>
  <c r="N16" i="18" s="1"/>
  <c r="N222" i="18"/>
  <c r="N220" i="18" s="1"/>
  <c r="K341" i="18"/>
  <c r="K377" i="18"/>
  <c r="K499" i="18"/>
  <c r="K624" i="18"/>
  <c r="K628" i="18"/>
  <c r="O354" i="17"/>
  <c r="K375" i="17"/>
  <c r="O457" i="17"/>
  <c r="K481" i="17"/>
  <c r="O553" i="17"/>
  <c r="O601" i="17"/>
  <c r="N644" i="17"/>
  <c r="N640" i="17" s="1"/>
  <c r="N638" i="17" s="1"/>
  <c r="N636" i="17" s="1"/>
  <c r="P57" i="18"/>
  <c r="L224" i="18"/>
  <c r="L222" i="18" s="1"/>
  <c r="O349" i="18"/>
  <c r="K450" i="18"/>
  <c r="K474" i="18"/>
  <c r="K622" i="18"/>
  <c r="M41" i="18"/>
  <c r="K86" i="18"/>
  <c r="O102" i="18"/>
  <c r="M120" i="18"/>
  <c r="O385" i="18"/>
  <c r="K401" i="18"/>
  <c r="K419" i="18"/>
  <c r="K620" i="18"/>
  <c r="K350" i="17"/>
  <c r="O401" i="17"/>
  <c r="O404" i="17"/>
  <c r="K422" i="17"/>
  <c r="K466" i="17"/>
  <c r="K564" i="17"/>
  <c r="O568" i="17"/>
  <c r="O599" i="17"/>
  <c r="K633" i="17"/>
  <c r="P45" i="18"/>
  <c r="K87" i="18"/>
  <c r="K111" i="18"/>
  <c r="L122" i="18"/>
  <c r="L120" i="18" s="1"/>
  <c r="P144" i="18"/>
  <c r="K149" i="18"/>
  <c r="K164" i="18"/>
  <c r="K249" i="18"/>
  <c r="K267" i="18"/>
  <c r="O279" i="18"/>
  <c r="K285" i="18"/>
  <c r="K328" i="18"/>
  <c r="O347" i="18"/>
  <c r="O383" i="18"/>
  <c r="K398" i="18"/>
  <c r="O401" i="18"/>
  <c r="K417" i="18"/>
  <c r="K429" i="18"/>
  <c r="O437" i="18"/>
  <c r="K465" i="18"/>
  <c r="O568" i="18"/>
  <c r="K573" i="18"/>
  <c r="K597" i="18"/>
  <c r="K618" i="18"/>
  <c r="K634" i="18"/>
  <c r="P29" i="1"/>
  <c r="M13" i="1"/>
  <c r="P13" i="1" s="1"/>
  <c r="P42" i="1"/>
  <c r="N19" i="1"/>
  <c r="O25" i="1"/>
  <c r="L15" i="1"/>
  <c r="O15" i="1" s="1"/>
  <c r="P21" i="1"/>
  <c r="M19" i="1"/>
  <c r="M11" i="1"/>
  <c r="I649" i="1"/>
  <c r="K649" i="2"/>
  <c r="N15" i="3"/>
  <c r="O251" i="4"/>
  <c r="O21" i="6"/>
  <c r="L19" i="6"/>
  <c r="L582" i="1"/>
  <c r="P19" i="4"/>
  <c r="K84" i="6"/>
  <c r="O352" i="6"/>
  <c r="L24" i="17"/>
  <c r="L57" i="17"/>
  <c r="N49" i="1"/>
  <c r="L58" i="1"/>
  <c r="M67" i="1"/>
  <c r="P67" i="1" s="1"/>
  <c r="I82" i="1"/>
  <c r="I88" i="1"/>
  <c r="N95" i="1"/>
  <c r="J133" i="1"/>
  <c r="I219" i="1"/>
  <c r="L228" i="1"/>
  <c r="O228" i="1" s="1"/>
  <c r="M251" i="1"/>
  <c r="P251" i="1" s="1"/>
  <c r="I270" i="1"/>
  <c r="N275" i="1"/>
  <c r="I289" i="1"/>
  <c r="M311" i="1"/>
  <c r="P311" i="1" s="1"/>
  <c r="L334" i="1"/>
  <c r="J340" i="1"/>
  <c r="N354" i="1"/>
  <c r="I368" i="1"/>
  <c r="I370" i="1"/>
  <c r="I372" i="1"/>
  <c r="I396" i="1"/>
  <c r="I398" i="1"/>
  <c r="J402" i="1"/>
  <c r="N404" i="1"/>
  <c r="L437" i="1"/>
  <c r="L439" i="1"/>
  <c r="J464" i="1"/>
  <c r="L533" i="1"/>
  <c r="L535" i="1"/>
  <c r="L537" i="1"/>
  <c r="L552" i="1"/>
  <c r="O552" i="1" s="1"/>
  <c r="N582" i="1"/>
  <c r="I591" i="1"/>
  <c r="I597" i="1"/>
  <c r="J614" i="1"/>
  <c r="J626" i="1"/>
  <c r="L651" i="1"/>
  <c r="P21" i="2"/>
  <c r="M11" i="2"/>
  <c r="P25" i="2"/>
  <c r="L33" i="2"/>
  <c r="O33" i="2" s="1"/>
  <c r="P45" i="2"/>
  <c r="M68" i="2"/>
  <c r="P70" i="2"/>
  <c r="K117" i="2"/>
  <c r="P144" i="2"/>
  <c r="N290" i="2"/>
  <c r="I560" i="1"/>
  <c r="K560" i="2"/>
  <c r="L567" i="1"/>
  <c r="O567" i="1" s="1"/>
  <c r="O567" i="2"/>
  <c r="O597" i="2"/>
  <c r="O599" i="2"/>
  <c r="O601" i="2"/>
  <c r="I616" i="1"/>
  <c r="I618" i="1"/>
  <c r="I622" i="1"/>
  <c r="I624" i="1"/>
  <c r="I629" i="1"/>
  <c r="I635" i="1"/>
  <c r="I648" i="1"/>
  <c r="K648" i="2"/>
  <c r="I651" i="1"/>
  <c r="K651" i="2"/>
  <c r="K663" i="2"/>
  <c r="O665" i="2"/>
  <c r="P11" i="3"/>
  <c r="M14" i="3"/>
  <c r="P14" i="3" s="1"/>
  <c r="N22" i="3"/>
  <c r="L26" i="3"/>
  <c r="P31" i="3"/>
  <c r="L24" i="3"/>
  <c r="P119" i="3"/>
  <c r="P251" i="3"/>
  <c r="M292" i="3"/>
  <c r="P294" i="3"/>
  <c r="L314" i="3"/>
  <c r="K339" i="3"/>
  <c r="K343" i="3"/>
  <c r="K345" i="3"/>
  <c r="O349" i="3"/>
  <c r="O351" i="3"/>
  <c r="K375" i="3"/>
  <c r="O533" i="3"/>
  <c r="K561" i="3"/>
  <c r="K561" i="1" s="1"/>
  <c r="O564" i="3"/>
  <c r="O568" i="3"/>
  <c r="O580" i="3"/>
  <c r="M22" i="4"/>
  <c r="M49" i="4"/>
  <c r="N273" i="4"/>
  <c r="N271" i="4" s="1"/>
  <c r="M312" i="4"/>
  <c r="L24" i="5"/>
  <c r="L45" i="5"/>
  <c r="N22" i="5"/>
  <c r="N273" i="5"/>
  <c r="N271" i="5" s="1"/>
  <c r="M331" i="5"/>
  <c r="O228" i="7"/>
  <c r="L26" i="7"/>
  <c r="P251" i="7"/>
  <c r="L31" i="8"/>
  <c r="O565" i="8"/>
  <c r="O353" i="10"/>
  <c r="L33" i="10"/>
  <c r="O33" i="10" s="1"/>
  <c r="O383" i="10"/>
  <c r="L32" i="10"/>
  <c r="L23" i="4"/>
  <c r="L57" i="4"/>
  <c r="P272" i="6"/>
  <c r="M271" i="6"/>
  <c r="O403" i="7"/>
  <c r="L31" i="7"/>
  <c r="L11" i="7" s="1"/>
  <c r="J424" i="1"/>
  <c r="I451" i="1"/>
  <c r="N43" i="2"/>
  <c r="M142" i="2"/>
  <c r="M140" i="2" s="1"/>
  <c r="N31" i="2"/>
  <c r="L32" i="3"/>
  <c r="O383" i="3"/>
  <c r="O535" i="3"/>
  <c r="P19" i="6"/>
  <c r="M30" i="1"/>
  <c r="P30" i="1" s="1"/>
  <c r="L46" i="1"/>
  <c r="L59" i="1"/>
  <c r="N67" i="1"/>
  <c r="I117" i="1"/>
  <c r="I267" i="1"/>
  <c r="N279" i="1"/>
  <c r="I285" i="1"/>
  <c r="L335" i="1"/>
  <c r="I380" i="1"/>
  <c r="L383" i="1"/>
  <c r="L385" i="1"/>
  <c r="J398" i="1"/>
  <c r="I417" i="1"/>
  <c r="I419" i="1"/>
  <c r="I421" i="1"/>
  <c r="I425" i="1"/>
  <c r="I429" i="1"/>
  <c r="I431" i="1"/>
  <c r="L456" i="1"/>
  <c r="O456" i="1" s="1"/>
  <c r="N535" i="1"/>
  <c r="I551" i="1"/>
  <c r="N552" i="1"/>
  <c r="M19" i="2"/>
  <c r="L26" i="2"/>
  <c r="M43" i="2"/>
  <c r="L23" i="2"/>
  <c r="L70" i="2"/>
  <c r="P95" i="2"/>
  <c r="K200" i="2"/>
  <c r="O272" i="2"/>
  <c r="P291" i="2"/>
  <c r="M331" i="2"/>
  <c r="M329" i="2" s="1"/>
  <c r="P333" i="2"/>
  <c r="N34" i="2"/>
  <c r="N14" i="2" s="1"/>
  <c r="K482" i="2"/>
  <c r="O551" i="2"/>
  <c r="O553" i="2"/>
  <c r="O555" i="2"/>
  <c r="K575" i="2"/>
  <c r="K577" i="2"/>
  <c r="K579" i="2"/>
  <c r="O580" i="2"/>
  <c r="O582" i="2"/>
  <c r="O584" i="2"/>
  <c r="L640" i="2"/>
  <c r="J651" i="2"/>
  <c r="L23" i="3"/>
  <c r="P67" i="3"/>
  <c r="K189" i="3"/>
  <c r="M222" i="3"/>
  <c r="O272" i="3"/>
  <c r="P311" i="3"/>
  <c r="K381" i="3"/>
  <c r="K591" i="3"/>
  <c r="K597" i="3"/>
  <c r="K625" i="3"/>
  <c r="K628" i="3"/>
  <c r="L24" i="4"/>
  <c r="P32" i="4"/>
  <c r="M66" i="4"/>
  <c r="K216" i="4"/>
  <c r="O221" i="4"/>
  <c r="O406" i="4"/>
  <c r="N34" i="4"/>
  <c r="N14" i="4" s="1"/>
  <c r="O49" i="5"/>
  <c r="L26" i="5"/>
  <c r="O49" i="6"/>
  <c r="L26" i="6"/>
  <c r="O251" i="6"/>
  <c r="O458" i="6"/>
  <c r="L33" i="6"/>
  <c r="O33" i="6" s="1"/>
  <c r="N43" i="8"/>
  <c r="N41" i="8" s="1"/>
  <c r="N22" i="8"/>
  <c r="O279" i="8"/>
  <c r="L26" i="8"/>
  <c r="N33" i="8"/>
  <c r="N13" i="8" s="1"/>
  <c r="P42" i="17"/>
  <c r="I112" i="1"/>
  <c r="L251" i="1"/>
  <c r="O251" i="1" s="1"/>
  <c r="M273" i="3"/>
  <c r="L34" i="4"/>
  <c r="O352" i="4"/>
  <c r="N32" i="4"/>
  <c r="N30" i="4" s="1"/>
  <c r="M15" i="1"/>
  <c r="P15" i="1" s="1"/>
  <c r="L21" i="1"/>
  <c r="I93" i="1"/>
  <c r="I109" i="1"/>
  <c r="I132" i="1"/>
  <c r="J173" i="1"/>
  <c r="L221" i="1"/>
  <c r="O221" i="1" s="1"/>
  <c r="L272" i="1"/>
  <c r="O272" i="1" s="1"/>
  <c r="M314" i="1"/>
  <c r="I341" i="1"/>
  <c r="L347" i="1"/>
  <c r="L351" i="1"/>
  <c r="L353" i="1"/>
  <c r="I377" i="1"/>
  <c r="J380" i="1"/>
  <c r="J381" i="1"/>
  <c r="N385" i="1"/>
  <c r="L401" i="1"/>
  <c r="L403" i="1"/>
  <c r="O403" i="1" s="1"/>
  <c r="J417" i="1"/>
  <c r="J419" i="1"/>
  <c r="J429" i="1"/>
  <c r="J431" i="1"/>
  <c r="J455" i="1"/>
  <c r="I469" i="1"/>
  <c r="K469" i="1" s="1"/>
  <c r="I471" i="1"/>
  <c r="K471" i="1" s="1"/>
  <c r="I475" i="1"/>
  <c r="K475" i="1" s="1"/>
  <c r="I481" i="1"/>
  <c r="I483" i="1"/>
  <c r="K483" i="1" s="1"/>
  <c r="I487" i="1"/>
  <c r="K487" i="1" s="1"/>
  <c r="I493" i="1"/>
  <c r="K493" i="1" s="1"/>
  <c r="I495" i="1"/>
  <c r="K495" i="1" s="1"/>
  <c r="I499" i="1"/>
  <c r="I505" i="1"/>
  <c r="K505" i="1" s="1"/>
  <c r="I507" i="1"/>
  <c r="K507" i="1" s="1"/>
  <c r="I511" i="1"/>
  <c r="K511" i="1" s="1"/>
  <c r="J551" i="1"/>
  <c r="J612" i="1"/>
  <c r="J618" i="1"/>
  <c r="J631" i="1"/>
  <c r="L650" i="1"/>
  <c r="L661" i="1"/>
  <c r="L668" i="1"/>
  <c r="O21" i="2"/>
  <c r="N33" i="2"/>
  <c r="N13" i="2" s="1"/>
  <c r="M120" i="2"/>
  <c r="P141" i="2"/>
  <c r="P221" i="2"/>
  <c r="K340" i="2"/>
  <c r="O352" i="2"/>
  <c r="L32" i="2"/>
  <c r="L565" i="1"/>
  <c r="O565" i="1" s="1"/>
  <c r="O565" i="2"/>
  <c r="K620" i="2"/>
  <c r="K622" i="2"/>
  <c r="K624" i="2"/>
  <c r="K626" i="2"/>
  <c r="K629" i="2"/>
  <c r="K631" i="2"/>
  <c r="K633" i="2"/>
  <c r="K635" i="2"/>
  <c r="I650" i="1"/>
  <c r="K650" i="2"/>
  <c r="J677" i="1"/>
  <c r="P23" i="3"/>
  <c r="M13" i="3"/>
  <c r="P13" i="3" s="1"/>
  <c r="M41" i="3"/>
  <c r="N26" i="3"/>
  <c r="N16" i="3" s="1"/>
  <c r="M55" i="3"/>
  <c r="M22" i="3"/>
  <c r="K421" i="3"/>
  <c r="K427" i="3"/>
  <c r="K533" i="3"/>
  <c r="K580" i="3"/>
  <c r="L31" i="4"/>
  <c r="P45" i="4"/>
  <c r="K64" i="4"/>
  <c r="M96" i="4"/>
  <c r="P102" i="4"/>
  <c r="M118" i="4"/>
  <c r="P118" i="4" s="1"/>
  <c r="K213" i="4"/>
  <c r="K629" i="4"/>
  <c r="K635" i="4"/>
  <c r="K189" i="5"/>
  <c r="K219" i="5"/>
  <c r="O251" i="5"/>
  <c r="P314" i="5"/>
  <c r="M312" i="5"/>
  <c r="P312" i="5" s="1"/>
  <c r="K398" i="5"/>
  <c r="O439" i="5"/>
  <c r="L34" i="5"/>
  <c r="L640" i="5"/>
  <c r="O665" i="5"/>
  <c r="P23" i="6"/>
  <c r="M13" i="6"/>
  <c r="P13" i="6" s="1"/>
  <c r="K149" i="6"/>
  <c r="N26" i="6"/>
  <c r="N273" i="6"/>
  <c r="P273" i="6" s="1"/>
  <c r="O144" i="7"/>
  <c r="L142" i="7"/>
  <c r="P330" i="2"/>
  <c r="I564" i="1"/>
  <c r="K564" i="2"/>
  <c r="P272" i="4"/>
  <c r="O458" i="5"/>
  <c r="L33" i="5"/>
  <c r="O33" i="5" s="1"/>
  <c r="O566" i="7"/>
  <c r="L32" i="7"/>
  <c r="P11" i="9"/>
  <c r="L640" i="18"/>
  <c r="O648" i="18"/>
  <c r="M95" i="1"/>
  <c r="P95" i="1" s="1"/>
  <c r="I108" i="1"/>
  <c r="M275" i="1"/>
  <c r="I344" i="1"/>
  <c r="K344" i="1" s="1"/>
  <c r="I350" i="1"/>
  <c r="M14" i="2"/>
  <c r="P14" i="2" s="1"/>
  <c r="M28" i="2"/>
  <c r="P28" i="2" s="1"/>
  <c r="P32" i="2"/>
  <c r="O42" i="4"/>
  <c r="M45" i="1"/>
  <c r="I65" i="1"/>
  <c r="I85" i="1"/>
  <c r="I149" i="1"/>
  <c r="J200" i="1"/>
  <c r="L225" i="1"/>
  <c r="I238" i="1"/>
  <c r="K238" i="1" s="1"/>
  <c r="I249" i="1"/>
  <c r="K249" i="1" s="1"/>
  <c r="M272" i="1"/>
  <c r="P272" i="1" s="1"/>
  <c r="L276" i="1"/>
  <c r="I309" i="1"/>
  <c r="K309" i="1" s="1"/>
  <c r="L318" i="1"/>
  <c r="O318" i="1" s="1"/>
  <c r="L337" i="1"/>
  <c r="L566" i="1"/>
  <c r="J595" i="1"/>
  <c r="L34" i="2"/>
  <c r="O42" i="2"/>
  <c r="P57" i="2"/>
  <c r="M55" i="2"/>
  <c r="O119" i="2"/>
  <c r="O148" i="2"/>
  <c r="N32" i="2"/>
  <c r="N30" i="2" s="1"/>
  <c r="K401" i="2"/>
  <c r="O406" i="2"/>
  <c r="K474" i="2"/>
  <c r="K498" i="2"/>
  <c r="K547" i="2"/>
  <c r="N565" i="1"/>
  <c r="J650" i="1"/>
  <c r="I668" i="1"/>
  <c r="K668" i="2"/>
  <c r="M28" i="3"/>
  <c r="P28" i="3" s="1"/>
  <c r="P45" i="3"/>
  <c r="K64" i="3"/>
  <c r="K328" i="3"/>
  <c r="K380" i="3"/>
  <c r="O385" i="3"/>
  <c r="L34" i="3"/>
  <c r="N33" i="3"/>
  <c r="N13" i="3" s="1"/>
  <c r="K589" i="3"/>
  <c r="K595" i="3"/>
  <c r="K619" i="3"/>
  <c r="P21" i="4"/>
  <c r="M11" i="4"/>
  <c r="K138" i="4"/>
  <c r="K235" i="4"/>
  <c r="P254" i="4"/>
  <c r="M252" i="4"/>
  <c r="M250" i="4" s="1"/>
  <c r="P275" i="4"/>
  <c r="M273" i="4"/>
  <c r="O535" i="4"/>
  <c r="L32" i="4"/>
  <c r="L640" i="4"/>
  <c r="O665" i="4"/>
  <c r="P45" i="5"/>
  <c r="M43" i="5"/>
  <c r="O279" i="5"/>
  <c r="O311" i="5"/>
  <c r="P337" i="5"/>
  <c r="O272" i="6"/>
  <c r="P275" i="6"/>
  <c r="M22" i="6"/>
  <c r="P15" i="7"/>
  <c r="M9" i="7"/>
  <c r="O21" i="7"/>
  <c r="L19" i="7"/>
  <c r="P29" i="7"/>
  <c r="P254" i="7"/>
  <c r="M252" i="7"/>
  <c r="P252" i="7" s="1"/>
  <c r="K593" i="7"/>
  <c r="O439" i="8"/>
  <c r="L34" i="8"/>
  <c r="K626" i="8"/>
  <c r="K624" i="8"/>
  <c r="K622" i="8"/>
  <c r="K620" i="8"/>
  <c r="K621" i="8"/>
  <c r="K623" i="8"/>
  <c r="K625" i="8"/>
  <c r="N26" i="10"/>
  <c r="N16" i="10" s="1"/>
  <c r="L640" i="10"/>
  <c r="O648" i="10"/>
  <c r="O354" i="15"/>
  <c r="L34" i="15"/>
  <c r="L33" i="15"/>
  <c r="O33" i="15" s="1"/>
  <c r="O384" i="15"/>
  <c r="K369" i="16"/>
  <c r="I367" i="16"/>
  <c r="K367" i="16" s="1"/>
  <c r="O25" i="17"/>
  <c r="L15" i="17"/>
  <c r="O15" i="17" s="1"/>
  <c r="L19" i="17"/>
  <c r="L26" i="17"/>
  <c r="O61" i="17"/>
  <c r="M331" i="18"/>
  <c r="P337" i="18"/>
  <c r="M26" i="18"/>
  <c r="O351" i="18"/>
  <c r="L31" i="18"/>
  <c r="O437" i="4"/>
  <c r="O533" i="4"/>
  <c r="K625" i="4"/>
  <c r="K623" i="4"/>
  <c r="K621" i="4"/>
  <c r="K626" i="4"/>
  <c r="K624" i="4"/>
  <c r="K622" i="4"/>
  <c r="K620" i="4"/>
  <c r="K633" i="4"/>
  <c r="L23" i="5"/>
  <c r="K235" i="5"/>
  <c r="P272" i="5"/>
  <c r="M271" i="5"/>
  <c r="P275" i="5"/>
  <c r="K396" i="5"/>
  <c r="K625" i="5"/>
  <c r="K623" i="5"/>
  <c r="K621" i="5"/>
  <c r="K626" i="5"/>
  <c r="K624" i="5"/>
  <c r="K622" i="5"/>
  <c r="K620" i="5"/>
  <c r="P29" i="6"/>
  <c r="M28" i="6"/>
  <c r="P28" i="6" s="1"/>
  <c r="P45" i="6"/>
  <c r="M43" i="6"/>
  <c r="M250" i="6"/>
  <c r="K396" i="6"/>
  <c r="L31" i="6"/>
  <c r="L11" i="6" s="1"/>
  <c r="O456" i="6"/>
  <c r="O535" i="6"/>
  <c r="K633" i="6"/>
  <c r="P23" i="7"/>
  <c r="M13" i="7"/>
  <c r="P13" i="7" s="1"/>
  <c r="O221" i="7"/>
  <c r="N26" i="7"/>
  <c r="N16" i="7" s="1"/>
  <c r="O385" i="7"/>
  <c r="L34" i="7"/>
  <c r="N644" i="8"/>
  <c r="N640" i="8" s="1"/>
  <c r="N638" i="8" s="1"/>
  <c r="N636" i="8" s="1"/>
  <c r="O311" i="9"/>
  <c r="L26" i="11"/>
  <c r="P49" i="11"/>
  <c r="M26" i="11"/>
  <c r="M43" i="11"/>
  <c r="P95" i="12"/>
  <c r="O384" i="12"/>
  <c r="L33" i="12"/>
  <c r="O33" i="12" s="1"/>
  <c r="K611" i="3"/>
  <c r="K613" i="3"/>
  <c r="K615" i="3"/>
  <c r="K617" i="3"/>
  <c r="K621" i="3"/>
  <c r="K623" i="3"/>
  <c r="O279" i="4"/>
  <c r="O435" i="4"/>
  <c r="O537" i="4"/>
  <c r="K631" i="4"/>
  <c r="P23" i="5"/>
  <c r="M13" i="5"/>
  <c r="P13" i="5" s="1"/>
  <c r="N32" i="5"/>
  <c r="N30" i="5" s="1"/>
  <c r="L31" i="5"/>
  <c r="L11" i="5" s="1"/>
  <c r="O456" i="5"/>
  <c r="L23" i="6"/>
  <c r="M312" i="6"/>
  <c r="P312" i="6" s="1"/>
  <c r="L24" i="7"/>
  <c r="N252" i="7"/>
  <c r="N22" i="7"/>
  <c r="N273" i="7"/>
  <c r="N271" i="7" s="1"/>
  <c r="L333" i="7"/>
  <c r="P29" i="8"/>
  <c r="M28" i="8"/>
  <c r="P28" i="8" s="1"/>
  <c r="O224" i="9"/>
  <c r="L222" i="9"/>
  <c r="P254" i="10"/>
  <c r="M252" i="10"/>
  <c r="P252" i="10" s="1"/>
  <c r="P49" i="12"/>
  <c r="M43" i="12"/>
  <c r="M41" i="12" s="1"/>
  <c r="N68" i="12"/>
  <c r="O74" i="12"/>
  <c r="N331" i="12"/>
  <c r="O311" i="4"/>
  <c r="K370" i="4"/>
  <c r="K398" i="4"/>
  <c r="O580" i="4"/>
  <c r="O21" i="5"/>
  <c r="L19" i="5"/>
  <c r="P29" i="5"/>
  <c r="M28" i="5"/>
  <c r="P28" i="5" s="1"/>
  <c r="L57" i="5"/>
  <c r="K110" i="5"/>
  <c r="K149" i="5"/>
  <c r="O383" i="5"/>
  <c r="L32" i="5"/>
  <c r="O435" i="5"/>
  <c r="O537" i="5"/>
  <c r="O580" i="5"/>
  <c r="L24" i="6"/>
  <c r="K108" i="6"/>
  <c r="O279" i="6"/>
  <c r="O311" i="6"/>
  <c r="N34" i="6"/>
  <c r="K368" i="6"/>
  <c r="O383" i="6"/>
  <c r="L32" i="6"/>
  <c r="O439" i="6"/>
  <c r="K625" i="6"/>
  <c r="K623" i="6"/>
  <c r="K621" i="6"/>
  <c r="K626" i="6"/>
  <c r="K624" i="6"/>
  <c r="K622" i="6"/>
  <c r="K620" i="6"/>
  <c r="L640" i="6"/>
  <c r="O665" i="6"/>
  <c r="P19" i="7"/>
  <c r="P70" i="7"/>
  <c r="O251" i="7"/>
  <c r="L23" i="8"/>
  <c r="L57" i="8"/>
  <c r="N22" i="9"/>
  <c r="N68" i="9"/>
  <c r="N66" i="9" s="1"/>
  <c r="P224" i="9"/>
  <c r="M22" i="9"/>
  <c r="M222" i="9"/>
  <c r="O42" i="11"/>
  <c r="K612" i="4"/>
  <c r="K614" i="4"/>
  <c r="K616" i="4"/>
  <c r="K618" i="4"/>
  <c r="K612" i="5"/>
  <c r="K614" i="5"/>
  <c r="K616" i="5"/>
  <c r="K618" i="5"/>
  <c r="M14" i="7"/>
  <c r="P14" i="7" s="1"/>
  <c r="O291" i="7"/>
  <c r="O352" i="8"/>
  <c r="L32" i="8"/>
  <c r="O291" i="9"/>
  <c r="O21" i="10"/>
  <c r="L19" i="10"/>
  <c r="P45" i="10"/>
  <c r="M43" i="10"/>
  <c r="M22" i="10"/>
  <c r="O251" i="10"/>
  <c r="O318" i="10"/>
  <c r="K589" i="10"/>
  <c r="O221" i="11"/>
  <c r="P275" i="11"/>
  <c r="O318" i="11"/>
  <c r="K427" i="11"/>
  <c r="M29" i="13"/>
  <c r="M11" i="13"/>
  <c r="P31" i="13"/>
  <c r="L24" i="14"/>
  <c r="M55" i="5"/>
  <c r="P311" i="7"/>
  <c r="O353" i="7"/>
  <c r="L33" i="7"/>
  <c r="O33" i="7" s="1"/>
  <c r="N118" i="8"/>
  <c r="L24" i="9"/>
  <c r="P254" i="9"/>
  <c r="M252" i="9"/>
  <c r="P252" i="9" s="1"/>
  <c r="P21" i="10"/>
  <c r="M11" i="10"/>
  <c r="M19" i="10"/>
  <c r="O42" i="10"/>
  <c r="O228" i="10"/>
  <c r="L26" i="10"/>
  <c r="P251" i="10"/>
  <c r="N22" i="10"/>
  <c r="N273" i="10"/>
  <c r="O21" i="11"/>
  <c r="L19" i="11"/>
  <c r="N22" i="11"/>
  <c r="N273" i="11"/>
  <c r="N34" i="11"/>
  <c r="N14" i="11" s="1"/>
  <c r="O311" i="13"/>
  <c r="M19" i="5"/>
  <c r="M220" i="6"/>
  <c r="K216" i="7"/>
  <c r="M222" i="7"/>
  <c r="K328" i="7"/>
  <c r="K421" i="7"/>
  <c r="K427" i="7"/>
  <c r="K589" i="7"/>
  <c r="K595" i="7"/>
  <c r="L640" i="7"/>
  <c r="O648" i="7"/>
  <c r="O21" i="8"/>
  <c r="L19" i="8"/>
  <c r="O42" i="8"/>
  <c r="M49" i="8"/>
  <c r="M43" i="8" s="1"/>
  <c r="O102" i="8"/>
  <c r="M273" i="8"/>
  <c r="O337" i="8"/>
  <c r="K349" i="8"/>
  <c r="K402" i="8"/>
  <c r="K449" i="8"/>
  <c r="O318" i="9"/>
  <c r="P57" i="10"/>
  <c r="M55" i="10"/>
  <c r="L144" i="11"/>
  <c r="P272" i="11"/>
  <c r="M271" i="11"/>
  <c r="M331" i="11"/>
  <c r="P337" i="11"/>
  <c r="N32" i="11"/>
  <c r="N30" i="11" s="1"/>
  <c r="O25" i="12"/>
  <c r="L15" i="12"/>
  <c r="O15" i="12" s="1"/>
  <c r="L19" i="12"/>
  <c r="K611" i="4"/>
  <c r="K613" i="4"/>
  <c r="K615" i="4"/>
  <c r="K617" i="4"/>
  <c r="K611" i="5"/>
  <c r="K613" i="5"/>
  <c r="K615" i="5"/>
  <c r="K617" i="5"/>
  <c r="P54" i="7"/>
  <c r="M53" i="7"/>
  <c r="O67" i="7"/>
  <c r="O74" i="7"/>
  <c r="M74" i="7"/>
  <c r="K285" i="7"/>
  <c r="K380" i="7"/>
  <c r="P21" i="8"/>
  <c r="M11" i="8"/>
  <c r="M19" i="8"/>
  <c r="P45" i="8"/>
  <c r="K88" i="8"/>
  <c r="K229" i="8"/>
  <c r="O272" i="8"/>
  <c r="K401" i="8"/>
  <c r="K482" i="8"/>
  <c r="P251" i="9"/>
  <c r="K425" i="9"/>
  <c r="M68" i="10"/>
  <c r="M26" i="10"/>
  <c r="P74" i="10"/>
  <c r="O385" i="10"/>
  <c r="L34" i="10"/>
  <c r="K421" i="10"/>
  <c r="O49" i="11"/>
  <c r="K88" i="11"/>
  <c r="O258" i="11"/>
  <c r="O599" i="12"/>
  <c r="M13" i="8"/>
  <c r="P13" i="8" s="1"/>
  <c r="P102" i="8"/>
  <c r="P311" i="9"/>
  <c r="O353" i="9"/>
  <c r="L33" i="9"/>
  <c r="O33" i="9" s="1"/>
  <c r="N33" i="9"/>
  <c r="N13" i="9" s="1"/>
  <c r="N43" i="10"/>
  <c r="N41" i="10" s="1"/>
  <c r="L23" i="10"/>
  <c r="O291" i="10"/>
  <c r="O351" i="10"/>
  <c r="L31" i="10"/>
  <c r="M14" i="11"/>
  <c r="P14" i="11" s="1"/>
  <c r="P21" i="11"/>
  <c r="M11" i="11"/>
  <c r="M19" i="11"/>
  <c r="M66" i="11"/>
  <c r="P251" i="11"/>
  <c r="O291" i="11"/>
  <c r="N26" i="12"/>
  <c r="N16" i="12" s="1"/>
  <c r="O382" i="12"/>
  <c r="L31" i="12"/>
  <c r="L11" i="12" s="1"/>
  <c r="N33" i="12"/>
  <c r="N13" i="12" s="1"/>
  <c r="P25" i="13"/>
  <c r="M15" i="13"/>
  <c r="P15" i="13" s="1"/>
  <c r="P122" i="14"/>
  <c r="M120" i="14"/>
  <c r="P120" i="14" s="1"/>
  <c r="L144" i="15"/>
  <c r="L23" i="15"/>
  <c r="M49" i="7"/>
  <c r="M102" i="7"/>
  <c r="M337" i="7"/>
  <c r="K612" i="8"/>
  <c r="K614" i="8"/>
  <c r="K616" i="8"/>
  <c r="P31" i="9"/>
  <c r="M29" i="9"/>
  <c r="L31" i="9"/>
  <c r="O351" i="9"/>
  <c r="O385" i="9"/>
  <c r="L34" i="9"/>
  <c r="K419" i="9"/>
  <c r="K431" i="9"/>
  <c r="K455" i="9"/>
  <c r="K593" i="9"/>
  <c r="K80" i="10"/>
  <c r="P311" i="10"/>
  <c r="K380" i="10"/>
  <c r="K427" i="10"/>
  <c r="N33" i="10"/>
  <c r="N13" i="10" s="1"/>
  <c r="K595" i="10"/>
  <c r="L23" i="11"/>
  <c r="L57" i="11"/>
  <c r="P311" i="11"/>
  <c r="K421" i="11"/>
  <c r="N33" i="11"/>
  <c r="N13" i="11" s="1"/>
  <c r="O649" i="11"/>
  <c r="N43" i="12"/>
  <c r="N41" i="12" s="1"/>
  <c r="N22" i="12"/>
  <c r="O126" i="12"/>
  <c r="L26" i="12"/>
  <c r="P141" i="12"/>
  <c r="M140" i="12"/>
  <c r="P43" i="14"/>
  <c r="M41" i="14"/>
  <c r="N120" i="14"/>
  <c r="K611" i="7"/>
  <c r="K613" i="7"/>
  <c r="K615" i="7"/>
  <c r="K617" i="7"/>
  <c r="K621" i="7"/>
  <c r="K623" i="7"/>
  <c r="O221" i="9"/>
  <c r="O258" i="9"/>
  <c r="K328" i="9"/>
  <c r="L32" i="9"/>
  <c r="O383" i="9"/>
  <c r="N34" i="9"/>
  <c r="N14" i="9" s="1"/>
  <c r="K417" i="9"/>
  <c r="K429" i="9"/>
  <c r="K591" i="9"/>
  <c r="L24" i="10"/>
  <c r="K201" i="10"/>
  <c r="N34" i="10"/>
  <c r="N14" i="10" s="1"/>
  <c r="K425" i="10"/>
  <c r="K455" i="10"/>
  <c r="N31" i="10"/>
  <c r="K593" i="10"/>
  <c r="M22" i="11"/>
  <c r="P70" i="11"/>
  <c r="N26" i="11"/>
  <c r="N16" i="11" s="1"/>
  <c r="K80" i="11"/>
  <c r="O351" i="11"/>
  <c r="L31" i="11"/>
  <c r="O385" i="11"/>
  <c r="K419" i="11"/>
  <c r="K431" i="11"/>
  <c r="K455" i="11"/>
  <c r="N31" i="11"/>
  <c r="L640" i="11"/>
  <c r="O648" i="11"/>
  <c r="P42" i="12"/>
  <c r="O19" i="13"/>
  <c r="L33" i="14"/>
  <c r="O33" i="14" s="1"/>
  <c r="O405" i="14"/>
  <c r="O565" i="14"/>
  <c r="L31" i="14"/>
  <c r="O671" i="14"/>
  <c r="L640" i="14"/>
  <c r="N26" i="9"/>
  <c r="N16" i="9" s="1"/>
  <c r="K199" i="9"/>
  <c r="O228" i="9"/>
  <c r="L26" i="9"/>
  <c r="M26" i="9"/>
  <c r="M331" i="9"/>
  <c r="K381" i="9"/>
  <c r="K427" i="9"/>
  <c r="K589" i="9"/>
  <c r="L640" i="9"/>
  <c r="O648" i="9"/>
  <c r="K88" i="10"/>
  <c r="K138" i="10"/>
  <c r="K199" i="10"/>
  <c r="O221" i="10"/>
  <c r="O258" i="10"/>
  <c r="K328" i="10"/>
  <c r="N32" i="10"/>
  <c r="N30" i="10" s="1"/>
  <c r="K423" i="10"/>
  <c r="K591" i="10"/>
  <c r="L24" i="11"/>
  <c r="K138" i="11"/>
  <c r="K158" i="11"/>
  <c r="K328" i="11"/>
  <c r="O383" i="11"/>
  <c r="L32" i="11"/>
  <c r="K417" i="11"/>
  <c r="K429" i="11"/>
  <c r="L252" i="12"/>
  <c r="N34" i="12"/>
  <c r="N14" i="12" s="1"/>
  <c r="P19" i="13"/>
  <c r="O251" i="13"/>
  <c r="K270" i="13"/>
  <c r="O383" i="13"/>
  <c r="L32" i="13"/>
  <c r="L314" i="14"/>
  <c r="M13" i="10"/>
  <c r="P13" i="10" s="1"/>
  <c r="M13" i="11"/>
  <c r="P13" i="11" s="1"/>
  <c r="K619" i="11"/>
  <c r="K617" i="11"/>
  <c r="K615" i="11"/>
  <c r="K613" i="11"/>
  <c r="K611" i="11"/>
  <c r="P21" i="12"/>
  <c r="M11" i="12"/>
  <c r="M19" i="12"/>
  <c r="M96" i="12"/>
  <c r="P102" i="12"/>
  <c r="M22" i="12"/>
  <c r="P122" i="12"/>
  <c r="N31" i="12"/>
  <c r="N29" i="12" s="1"/>
  <c r="O67" i="13"/>
  <c r="O272" i="13"/>
  <c r="P70" i="14"/>
  <c r="M22" i="14"/>
  <c r="K618" i="11"/>
  <c r="N19" i="12"/>
  <c r="L23" i="12"/>
  <c r="P119" i="12"/>
  <c r="M118" i="12"/>
  <c r="L34" i="12"/>
  <c r="O354" i="12"/>
  <c r="N32" i="12"/>
  <c r="N30" i="12" s="1"/>
  <c r="P42" i="13"/>
  <c r="M41" i="13"/>
  <c r="M271" i="13"/>
  <c r="P272" i="13"/>
  <c r="O458" i="13"/>
  <c r="L33" i="13"/>
  <c r="O33" i="13" s="1"/>
  <c r="N22" i="14"/>
  <c r="N68" i="14"/>
  <c r="N66" i="14" s="1"/>
  <c r="K611" i="9"/>
  <c r="K613" i="9"/>
  <c r="K615" i="9"/>
  <c r="K617" i="9"/>
  <c r="K621" i="9"/>
  <c r="K623" i="9"/>
  <c r="K611" i="10"/>
  <c r="K613" i="10"/>
  <c r="K615" i="10"/>
  <c r="K617" i="10"/>
  <c r="K621" i="10"/>
  <c r="K623" i="10"/>
  <c r="O564" i="11"/>
  <c r="K616" i="11"/>
  <c r="L32" i="12"/>
  <c r="L24" i="12"/>
  <c r="N96" i="12"/>
  <c r="K270" i="12"/>
  <c r="K418" i="12"/>
  <c r="K430" i="12"/>
  <c r="N644" i="12"/>
  <c r="N640" i="12" s="1"/>
  <c r="N638" i="12" s="1"/>
  <c r="N636" i="12" s="1"/>
  <c r="P33" i="13"/>
  <c r="M13" i="13"/>
  <c r="P13" i="13" s="1"/>
  <c r="O54" i="13"/>
  <c r="L70" i="13"/>
  <c r="P98" i="13"/>
  <c r="M96" i="13"/>
  <c r="O119" i="13"/>
  <c r="L252" i="13"/>
  <c r="O252" i="13" s="1"/>
  <c r="K402" i="13"/>
  <c r="P32" i="14"/>
  <c r="M30" i="14"/>
  <c r="P30" i="14" s="1"/>
  <c r="P141" i="14"/>
  <c r="M140" i="14"/>
  <c r="O272" i="14"/>
  <c r="P330" i="14"/>
  <c r="O49" i="12"/>
  <c r="M53" i="12"/>
  <c r="M68" i="12"/>
  <c r="P74" i="12"/>
  <c r="P333" i="12"/>
  <c r="K416" i="12"/>
  <c r="K428" i="12"/>
  <c r="O601" i="12"/>
  <c r="O25" i="13"/>
  <c r="L15" i="13"/>
  <c r="O15" i="13" s="1"/>
  <c r="P119" i="13"/>
  <c r="M118" i="13"/>
  <c r="K401" i="13"/>
  <c r="K426" i="13"/>
  <c r="O565" i="13"/>
  <c r="L31" i="13"/>
  <c r="K626" i="13"/>
  <c r="K624" i="13"/>
  <c r="K622" i="13"/>
  <c r="K620" i="13"/>
  <c r="K621" i="13"/>
  <c r="K623" i="13"/>
  <c r="K625" i="13"/>
  <c r="P24" i="14"/>
  <c r="M14" i="14"/>
  <c r="P14" i="14" s="1"/>
  <c r="L254" i="14"/>
  <c r="O337" i="12"/>
  <c r="M22" i="13"/>
  <c r="O354" i="14"/>
  <c r="L34" i="14"/>
  <c r="N22" i="15"/>
  <c r="N68" i="15"/>
  <c r="P68" i="15" s="1"/>
  <c r="N96" i="15"/>
  <c r="N94" i="15" s="1"/>
  <c r="L32" i="15"/>
  <c r="O352" i="15"/>
  <c r="O581" i="16"/>
  <c r="L31" i="16"/>
  <c r="O599" i="16"/>
  <c r="L32" i="16"/>
  <c r="K621" i="11"/>
  <c r="K623" i="11"/>
  <c r="L23" i="13"/>
  <c r="L26" i="13"/>
  <c r="P32" i="13"/>
  <c r="M30" i="13"/>
  <c r="P30" i="13" s="1"/>
  <c r="K235" i="13"/>
  <c r="P275" i="13"/>
  <c r="N331" i="13"/>
  <c r="L34" i="13"/>
  <c r="K370" i="13"/>
  <c r="K396" i="13"/>
  <c r="O439" i="13"/>
  <c r="N19" i="14"/>
  <c r="L23" i="14"/>
  <c r="M66" i="14"/>
  <c r="P66" i="14" s="1"/>
  <c r="K229" i="14"/>
  <c r="K340" i="14"/>
  <c r="L32" i="14"/>
  <c r="O352" i="14"/>
  <c r="N34" i="14"/>
  <c r="N14" i="14" s="1"/>
  <c r="P24" i="15"/>
  <c r="M14" i="15"/>
  <c r="P14" i="15" s="1"/>
  <c r="K612" i="12"/>
  <c r="K614" i="12"/>
  <c r="K616" i="12"/>
  <c r="K620" i="12"/>
  <c r="K622" i="12"/>
  <c r="K624" i="12"/>
  <c r="M16" i="13"/>
  <c r="N43" i="13"/>
  <c r="P43" i="13" s="1"/>
  <c r="P67" i="13"/>
  <c r="M140" i="13"/>
  <c r="K368" i="13"/>
  <c r="N31" i="13"/>
  <c r="N29" i="13" s="1"/>
  <c r="O437" i="13"/>
  <c r="P23" i="14"/>
  <c r="M13" i="14"/>
  <c r="P13" i="14" s="1"/>
  <c r="P25" i="14"/>
  <c r="M15" i="14"/>
  <c r="P15" i="14" s="1"/>
  <c r="K350" i="14"/>
  <c r="P11" i="15"/>
  <c r="L26" i="16"/>
  <c r="O61" i="16"/>
  <c r="O221" i="16"/>
  <c r="M55" i="13"/>
  <c r="P57" i="13"/>
  <c r="K189" i="13"/>
  <c r="K219" i="13"/>
  <c r="P337" i="13"/>
  <c r="O435" i="13"/>
  <c r="P31" i="14"/>
  <c r="M29" i="14"/>
  <c r="M96" i="14"/>
  <c r="P102" i="14"/>
  <c r="K349" i="14"/>
  <c r="K418" i="14"/>
  <c r="K430" i="14"/>
  <c r="O459" i="14"/>
  <c r="P31" i="15"/>
  <c r="M29" i="15"/>
  <c r="P54" i="15"/>
  <c r="M53" i="15"/>
  <c r="O671" i="15"/>
  <c r="L640" i="15"/>
  <c r="P32" i="15"/>
  <c r="M30" i="15"/>
  <c r="P30" i="15" s="1"/>
  <c r="M26" i="15"/>
  <c r="M142" i="15"/>
  <c r="M331" i="15"/>
  <c r="P337" i="15"/>
  <c r="P42" i="16"/>
  <c r="P25" i="17"/>
  <c r="M15" i="17"/>
  <c r="M19" i="17"/>
  <c r="K612" i="13"/>
  <c r="K614" i="13"/>
  <c r="K616" i="13"/>
  <c r="L26" i="14"/>
  <c r="O406" i="14"/>
  <c r="K424" i="14"/>
  <c r="O555" i="14"/>
  <c r="O601" i="14"/>
  <c r="L26" i="15"/>
  <c r="O74" i="15"/>
  <c r="K200" i="15"/>
  <c r="N31" i="15"/>
  <c r="O457" i="15"/>
  <c r="O599" i="15"/>
  <c r="N644" i="15"/>
  <c r="N640" i="15" s="1"/>
  <c r="N638" i="15" s="1"/>
  <c r="N636" i="15" s="1"/>
  <c r="L34" i="16"/>
  <c r="O459" i="16"/>
  <c r="O404" i="14"/>
  <c r="K422" i="14"/>
  <c r="P25" i="15"/>
  <c r="M15" i="15"/>
  <c r="P15" i="15" s="1"/>
  <c r="O380" i="15"/>
  <c r="K416" i="15"/>
  <c r="K422" i="15"/>
  <c r="K428" i="15"/>
  <c r="K402" i="14"/>
  <c r="K420" i="14"/>
  <c r="K432" i="14"/>
  <c r="O553" i="14"/>
  <c r="O599" i="14"/>
  <c r="P67" i="15"/>
  <c r="M66" i="15"/>
  <c r="P70" i="15"/>
  <c r="M22" i="15"/>
  <c r="P148" i="15"/>
  <c r="O455" i="15"/>
  <c r="O597" i="15"/>
  <c r="P294" i="16"/>
  <c r="M292" i="16"/>
  <c r="P292" i="16" s="1"/>
  <c r="L333" i="16"/>
  <c r="O221" i="17"/>
  <c r="M220" i="16"/>
  <c r="O258" i="16"/>
  <c r="L33" i="16"/>
  <c r="O33" i="16" s="1"/>
  <c r="O384" i="16"/>
  <c r="P254" i="17"/>
  <c r="M252" i="17"/>
  <c r="M250" i="17" s="1"/>
  <c r="L33" i="17"/>
  <c r="O33" i="17" s="1"/>
  <c r="O384" i="17"/>
  <c r="K626" i="15"/>
  <c r="K624" i="15"/>
  <c r="K622" i="15"/>
  <c r="K620" i="15"/>
  <c r="K625" i="15"/>
  <c r="K623" i="15"/>
  <c r="K621" i="15"/>
  <c r="O25" i="16"/>
  <c r="L15" i="16"/>
  <c r="O15" i="16" s="1"/>
  <c r="P57" i="16"/>
  <c r="M22" i="16"/>
  <c r="M55" i="16"/>
  <c r="P251" i="16"/>
  <c r="K618" i="16"/>
  <c r="K616" i="16"/>
  <c r="K614" i="16"/>
  <c r="K612" i="16"/>
  <c r="K619" i="16"/>
  <c r="K617" i="16"/>
  <c r="K615" i="16"/>
  <c r="K613" i="16"/>
  <c r="K611" i="16"/>
  <c r="O251" i="17"/>
  <c r="N22" i="18"/>
  <c r="P70" i="18"/>
  <c r="N68" i="18"/>
  <c r="K612" i="14"/>
  <c r="K614" i="14"/>
  <c r="K616" i="14"/>
  <c r="K620" i="14"/>
  <c r="K622" i="14"/>
  <c r="K624" i="14"/>
  <c r="L19" i="16"/>
  <c r="N19" i="16"/>
  <c r="P25" i="16"/>
  <c r="M15" i="16"/>
  <c r="P15" i="16" s="1"/>
  <c r="P32" i="16"/>
  <c r="M30" i="16"/>
  <c r="P30" i="16" s="1"/>
  <c r="L70" i="16"/>
  <c r="L23" i="16"/>
  <c r="N250" i="16"/>
  <c r="N22" i="16"/>
  <c r="O318" i="16"/>
  <c r="N19" i="17"/>
  <c r="M43" i="17"/>
  <c r="P49" i="17"/>
  <c r="P251" i="17"/>
  <c r="K618" i="15"/>
  <c r="K616" i="15"/>
  <c r="K619" i="15"/>
  <c r="K617" i="15"/>
  <c r="K615" i="15"/>
  <c r="K628" i="15"/>
  <c r="K634" i="15"/>
  <c r="M19" i="16"/>
  <c r="K84" i="16"/>
  <c r="M252" i="16"/>
  <c r="P252" i="16" s="1"/>
  <c r="O291" i="16"/>
  <c r="P311" i="16"/>
  <c r="N31" i="16"/>
  <c r="N29" i="16" s="1"/>
  <c r="K630" i="16"/>
  <c r="K369" i="17"/>
  <c r="I367" i="17"/>
  <c r="K367" i="17" s="1"/>
  <c r="N22" i="17"/>
  <c r="P19" i="18"/>
  <c r="O671" i="16"/>
  <c r="L640" i="16"/>
  <c r="M13" i="17"/>
  <c r="P13" i="17" s="1"/>
  <c r="P32" i="17"/>
  <c r="M30" i="17"/>
  <c r="O49" i="17"/>
  <c r="P57" i="17"/>
  <c r="M22" i="17"/>
  <c r="M55" i="17"/>
  <c r="O291" i="17"/>
  <c r="P311" i="17"/>
  <c r="M29" i="16"/>
  <c r="N26" i="17"/>
  <c r="N16" i="17" s="1"/>
  <c r="M222" i="17"/>
  <c r="M220" i="17" s="1"/>
  <c r="N252" i="17"/>
  <c r="N250" i="17" s="1"/>
  <c r="K328" i="17"/>
  <c r="L24" i="18"/>
  <c r="L45" i="18"/>
  <c r="N644" i="16"/>
  <c r="N640" i="16" s="1"/>
  <c r="N638" i="16" s="1"/>
  <c r="N636" i="16" s="1"/>
  <c r="L70" i="17"/>
  <c r="L23" i="17"/>
  <c r="K93" i="17"/>
  <c r="K158" i="17"/>
  <c r="O258" i="17"/>
  <c r="M312" i="17"/>
  <c r="P312" i="17" s="1"/>
  <c r="P23" i="18"/>
  <c r="M13" i="18"/>
  <c r="P13" i="18" s="1"/>
  <c r="N15" i="18"/>
  <c r="N19" i="18"/>
  <c r="O251" i="18"/>
  <c r="P24" i="18"/>
  <c r="M14" i="18"/>
  <c r="P14" i="18" s="1"/>
  <c r="P224" i="18"/>
  <c r="M222" i="18"/>
  <c r="M22" i="18"/>
  <c r="P251" i="18"/>
  <c r="M250" i="18"/>
  <c r="O272" i="18"/>
  <c r="M102" i="17"/>
  <c r="P31" i="18"/>
  <c r="M29" i="18"/>
  <c r="O439" i="18"/>
  <c r="L34" i="18"/>
  <c r="O406" i="18"/>
  <c r="N34" i="18"/>
  <c r="N14" i="18" s="1"/>
  <c r="K482" i="17"/>
  <c r="K626" i="17"/>
  <c r="K624" i="17"/>
  <c r="K622" i="17"/>
  <c r="K620" i="17"/>
  <c r="M11" i="18"/>
  <c r="L23" i="18"/>
  <c r="K80" i="18"/>
  <c r="K83" i="18"/>
  <c r="P311" i="18"/>
  <c r="M310" i="18"/>
  <c r="K589" i="18"/>
  <c r="K612" i="17"/>
  <c r="K614" i="17"/>
  <c r="K616" i="17"/>
  <c r="K81" i="18"/>
  <c r="P254" i="18"/>
  <c r="K264" i="18"/>
  <c r="P314" i="18"/>
  <c r="K595" i="18"/>
  <c r="K611" i="18"/>
  <c r="K613" i="18"/>
  <c r="K615" i="18"/>
  <c r="K617" i="18"/>
  <c r="K621" i="18"/>
  <c r="K623" i="18"/>
  <c r="N53" i="7" l="1"/>
  <c r="N271" i="13"/>
  <c r="L252" i="2"/>
  <c r="L250" i="2" s="1"/>
  <c r="O250" i="2" s="1"/>
  <c r="K341" i="1"/>
  <c r="L96" i="8"/>
  <c r="L94" i="8" s="1"/>
  <c r="L55" i="15"/>
  <c r="O57" i="6"/>
  <c r="P120" i="6"/>
  <c r="L43" i="14"/>
  <c r="L120" i="15"/>
  <c r="L118" i="15" s="1"/>
  <c r="O118" i="15" s="1"/>
  <c r="L55" i="7"/>
  <c r="O55" i="7" s="1"/>
  <c r="P252" i="3"/>
  <c r="O45" i="16"/>
  <c r="P118" i="8"/>
  <c r="K328" i="1"/>
  <c r="L68" i="5"/>
  <c r="L66" i="5" s="1"/>
  <c r="O66" i="5" s="1"/>
  <c r="L68" i="9"/>
  <c r="O68" i="9" s="1"/>
  <c r="O294" i="12"/>
  <c r="K219" i="1"/>
  <c r="O294" i="4"/>
  <c r="O68" i="3"/>
  <c r="O144" i="16"/>
  <c r="L252" i="11"/>
  <c r="O252" i="11" s="1"/>
  <c r="O564" i="1"/>
  <c r="K428" i="1"/>
  <c r="P55" i="11"/>
  <c r="O45" i="11"/>
  <c r="K266" i="1"/>
  <c r="L120" i="16"/>
  <c r="M290" i="12"/>
  <c r="P290" i="12" s="1"/>
  <c r="L312" i="10"/>
  <c r="O312" i="10" s="1"/>
  <c r="L68" i="14"/>
  <c r="L66" i="14" s="1"/>
  <c r="O66" i="14" s="1"/>
  <c r="K614" i="1"/>
  <c r="L331" i="3"/>
  <c r="O331" i="3" s="1"/>
  <c r="L292" i="6"/>
  <c r="O292" i="6" s="1"/>
  <c r="J651" i="1"/>
  <c r="K651" i="1" s="1"/>
  <c r="K422" i="1"/>
  <c r="O314" i="17"/>
  <c r="O599" i="1"/>
  <c r="K289" i="1"/>
  <c r="O551" i="1"/>
  <c r="K372" i="1"/>
  <c r="L120" i="2"/>
  <c r="L118" i="2" s="1"/>
  <c r="O118" i="2" s="1"/>
  <c r="O273" i="13"/>
  <c r="L142" i="3"/>
  <c r="O142" i="3" s="1"/>
  <c r="K306" i="1"/>
  <c r="K113" i="1"/>
  <c r="K87" i="1"/>
  <c r="P273" i="10"/>
  <c r="K65" i="1"/>
  <c r="K427" i="1"/>
  <c r="K164" i="1"/>
  <c r="P120" i="8"/>
  <c r="L273" i="14"/>
  <c r="O273" i="14" s="1"/>
  <c r="O668" i="1"/>
  <c r="K112" i="1"/>
  <c r="O31" i="15"/>
  <c r="L292" i="18"/>
  <c r="O292" i="18" s="1"/>
  <c r="L331" i="8"/>
  <c r="L329" i="8" s="1"/>
  <c r="O329" i="8" s="1"/>
  <c r="N220" i="11"/>
  <c r="P220" i="11" s="1"/>
  <c r="O455" i="1"/>
  <c r="K324" i="1"/>
  <c r="O224" i="3"/>
  <c r="P273" i="15"/>
  <c r="O437" i="1"/>
  <c r="K473" i="1"/>
  <c r="O459" i="1"/>
  <c r="O122" i="17"/>
  <c r="O314" i="7"/>
  <c r="L273" i="6"/>
  <c r="L271" i="6" s="1"/>
  <c r="O650" i="1"/>
  <c r="K84" i="1"/>
  <c r="P312" i="13"/>
  <c r="M271" i="9"/>
  <c r="P271" i="9" s="1"/>
  <c r="L273" i="12"/>
  <c r="O273" i="12" s="1"/>
  <c r="L96" i="7"/>
  <c r="O96" i="7" s="1"/>
  <c r="L292" i="9"/>
  <c r="O292" i="9" s="1"/>
  <c r="O314" i="5"/>
  <c r="K482" i="1"/>
  <c r="L43" i="4"/>
  <c r="L41" i="4" s="1"/>
  <c r="O41" i="4" s="1"/>
  <c r="P250" i="3"/>
  <c r="L222" i="14"/>
  <c r="L220" i="14" s="1"/>
  <c r="O220" i="14" s="1"/>
  <c r="O671" i="1"/>
  <c r="K402" i="1"/>
  <c r="L252" i="8"/>
  <c r="O252" i="8" s="1"/>
  <c r="K573" i="1"/>
  <c r="P220" i="17"/>
  <c r="L96" i="5"/>
  <c r="O96" i="5" s="1"/>
  <c r="O254" i="6"/>
  <c r="K533" i="1"/>
  <c r="L68" i="12"/>
  <c r="L66" i="12" s="1"/>
  <c r="L222" i="10"/>
  <c r="O222" i="10" s="1"/>
  <c r="K375" i="1"/>
  <c r="N55" i="1"/>
  <c r="N53" i="1" s="1"/>
  <c r="P53" i="1" s="1"/>
  <c r="O222" i="9"/>
  <c r="O102" i="1"/>
  <c r="L312" i="12"/>
  <c r="O312" i="12" s="1"/>
  <c r="L292" i="5"/>
  <c r="O292" i="5" s="1"/>
  <c r="P140" i="6"/>
  <c r="O347" i="1"/>
  <c r="K235" i="1"/>
  <c r="P142" i="6"/>
  <c r="O45" i="8"/>
  <c r="O45" i="2"/>
  <c r="N11" i="5"/>
  <c r="N9" i="5" s="1"/>
  <c r="K216" i="1"/>
  <c r="L142" i="9"/>
  <c r="O142" i="9" s="1"/>
  <c r="K589" i="1"/>
  <c r="K81" i="1"/>
  <c r="P314" i="1"/>
  <c r="O98" i="15"/>
  <c r="K381" i="1"/>
  <c r="M118" i="6"/>
  <c r="P118" i="6" s="1"/>
  <c r="L273" i="9"/>
  <c r="O273" i="9" s="1"/>
  <c r="M94" i="15"/>
  <c r="P94" i="15" s="1"/>
  <c r="L312" i="8"/>
  <c r="O312" i="8" s="1"/>
  <c r="L96" i="2"/>
  <c r="O96" i="2" s="1"/>
  <c r="M250" i="5"/>
  <c r="P250" i="5" s="1"/>
  <c r="L292" i="11"/>
  <c r="O292" i="11" s="1"/>
  <c r="P331" i="16"/>
  <c r="K629" i="1"/>
  <c r="O294" i="16"/>
  <c r="O275" i="15"/>
  <c r="K401" i="1"/>
  <c r="L222" i="16"/>
  <c r="O222" i="16" s="1"/>
  <c r="L252" i="5"/>
  <c r="O252" i="5" s="1"/>
  <c r="O349" i="1"/>
  <c r="O665" i="1"/>
  <c r="K377" i="1"/>
  <c r="L273" i="18"/>
  <c r="L271" i="18" s="1"/>
  <c r="O271" i="18" s="1"/>
  <c r="P337" i="6"/>
  <c r="M290" i="5"/>
  <c r="P290" i="5" s="1"/>
  <c r="O584" i="1"/>
  <c r="K547" i="1"/>
  <c r="O254" i="7"/>
  <c r="L11" i="17"/>
  <c r="O11" i="17" s="1"/>
  <c r="O597" i="1"/>
  <c r="P331" i="6"/>
  <c r="P43" i="15"/>
  <c r="M290" i="10"/>
  <c r="P290" i="10" s="1"/>
  <c r="O648" i="1"/>
  <c r="K432" i="1"/>
  <c r="P55" i="14"/>
  <c r="K499" i="1"/>
  <c r="O96" i="12"/>
  <c r="L312" i="13"/>
  <c r="O312" i="13" s="1"/>
  <c r="O98" i="12"/>
  <c r="O122" i="18"/>
  <c r="N329" i="6"/>
  <c r="P329" i="6" s="1"/>
  <c r="O406" i="1"/>
  <c r="O122" i="6"/>
  <c r="K423" i="1"/>
  <c r="K176" i="1"/>
  <c r="N118" i="12"/>
  <c r="P118" i="12" s="1"/>
  <c r="K612" i="1"/>
  <c r="K613" i="1"/>
  <c r="K464" i="1"/>
  <c r="K343" i="1"/>
  <c r="K630" i="1"/>
  <c r="K80" i="1"/>
  <c r="O380" i="1"/>
  <c r="K349" i="1"/>
  <c r="K111" i="1"/>
  <c r="M118" i="9"/>
  <c r="P118" i="9" s="1"/>
  <c r="L55" i="16"/>
  <c r="O55" i="16" s="1"/>
  <c r="O34" i="5"/>
  <c r="P310" i="2"/>
  <c r="K229" i="1"/>
  <c r="L222" i="4"/>
  <c r="O222" i="4" s="1"/>
  <c r="K418" i="1"/>
  <c r="L312" i="16"/>
  <c r="O312" i="16" s="1"/>
  <c r="P222" i="8"/>
  <c r="P331" i="14"/>
  <c r="O275" i="5"/>
  <c r="P140" i="18"/>
  <c r="M53" i="11"/>
  <c r="P53" i="11" s="1"/>
  <c r="O275" i="11"/>
  <c r="K498" i="1"/>
  <c r="K628" i="1"/>
  <c r="L43" i="3"/>
  <c r="L41" i="3" s="1"/>
  <c r="O41" i="3" s="1"/>
  <c r="M290" i="11"/>
  <c r="P290" i="11" s="1"/>
  <c r="O140" i="16"/>
  <c r="L222" i="17"/>
  <c r="O222" i="17" s="1"/>
  <c r="K564" i="1"/>
  <c r="O537" i="1"/>
  <c r="P55" i="8"/>
  <c r="O122" i="4"/>
  <c r="P120" i="17"/>
  <c r="O43" i="2"/>
  <c r="O31" i="3"/>
  <c r="O457" i="1"/>
  <c r="K621" i="1"/>
  <c r="K663" i="1"/>
  <c r="K449" i="1"/>
  <c r="K619" i="1"/>
  <c r="K465" i="1"/>
  <c r="P55" i="13"/>
  <c r="P222" i="7"/>
  <c r="O224" i="2"/>
  <c r="N20" i="2"/>
  <c r="N18" i="2" s="1"/>
  <c r="L11" i="3"/>
  <c r="O11" i="3" s="1"/>
  <c r="L273" i="3"/>
  <c r="L271" i="3" s="1"/>
  <c r="O271" i="3" s="1"/>
  <c r="P122" i="1"/>
  <c r="O122" i="8"/>
  <c r="L312" i="4"/>
  <c r="O312" i="4" s="1"/>
  <c r="K108" i="1"/>
  <c r="N53" i="15"/>
  <c r="P53" i="15" s="1"/>
  <c r="K416" i="1"/>
  <c r="K110" i="1"/>
  <c r="K83" i="1"/>
  <c r="L43" i="15"/>
  <c r="L41" i="15" s="1"/>
  <c r="O144" i="14"/>
  <c r="P273" i="14"/>
  <c r="L142" i="17"/>
  <c r="O142" i="17" s="1"/>
  <c r="M310" i="9"/>
  <c r="P310" i="9" s="1"/>
  <c r="O566" i="1"/>
  <c r="O661" i="1"/>
  <c r="O120" i="3"/>
  <c r="O55" i="10"/>
  <c r="P142" i="3"/>
  <c r="O275" i="13"/>
  <c r="O401" i="1"/>
  <c r="O404" i="1"/>
  <c r="P250" i="4"/>
  <c r="K345" i="1"/>
  <c r="K622" i="1"/>
  <c r="K648" i="1"/>
  <c r="K340" i="1"/>
  <c r="O222" i="12"/>
  <c r="K625" i="1"/>
  <c r="K397" i="1"/>
  <c r="O354" i="1"/>
  <c r="N66" i="8"/>
  <c r="P66" i="8" s="1"/>
  <c r="K665" i="1"/>
  <c r="P222" i="6"/>
  <c r="L331" i="9"/>
  <c r="O331" i="9" s="1"/>
  <c r="K173" i="1"/>
  <c r="K421" i="1"/>
  <c r="K451" i="1"/>
  <c r="K626" i="1"/>
  <c r="O222" i="13"/>
  <c r="P55" i="12"/>
  <c r="L120" i="5"/>
  <c r="L118" i="5" s="1"/>
  <c r="O118" i="5" s="1"/>
  <c r="P333" i="1"/>
  <c r="O555" i="1"/>
  <c r="P331" i="11"/>
  <c r="P220" i="6"/>
  <c r="K623" i="1"/>
  <c r="K595" i="1"/>
  <c r="K481" i="1"/>
  <c r="O333" i="14"/>
  <c r="L252" i="16"/>
  <c r="L250" i="16" s="1"/>
  <c r="O250" i="16" s="1"/>
  <c r="L43" i="13"/>
  <c r="O43" i="13" s="1"/>
  <c r="P220" i="15"/>
  <c r="K620" i="1"/>
  <c r="K617" i="1"/>
  <c r="P337" i="12"/>
  <c r="L43" i="6"/>
  <c r="O43" i="6" s="1"/>
  <c r="K370" i="1"/>
  <c r="O568" i="1"/>
  <c r="M331" i="12"/>
  <c r="M329" i="12" s="1"/>
  <c r="P252" i="13"/>
  <c r="L142" i="2"/>
  <c r="O142" i="2" s="1"/>
  <c r="O30" i="17"/>
  <c r="P96" i="18"/>
  <c r="K632" i="1"/>
  <c r="P224" i="1"/>
  <c r="P140" i="10"/>
  <c r="K138" i="1"/>
  <c r="K264" i="1"/>
  <c r="K92" i="1"/>
  <c r="K204" i="1"/>
  <c r="K426" i="1"/>
  <c r="K591" i="1"/>
  <c r="K649" i="1"/>
  <c r="N11" i="18"/>
  <c r="N9" i="18" s="1"/>
  <c r="K304" i="1"/>
  <c r="P140" i="4"/>
  <c r="L638" i="13"/>
  <c r="O638" i="13" s="1"/>
  <c r="N12" i="13"/>
  <c r="N10" i="13" s="1"/>
  <c r="P142" i="15"/>
  <c r="L638" i="8"/>
  <c r="O638" i="8" s="1"/>
  <c r="P43" i="16"/>
  <c r="O142" i="18"/>
  <c r="K593" i="1"/>
  <c r="O98" i="16"/>
  <c r="K199" i="1"/>
  <c r="P294" i="1"/>
  <c r="P142" i="13"/>
  <c r="O333" i="11"/>
  <c r="L312" i="11"/>
  <c r="O312" i="11" s="1"/>
  <c r="K109" i="1"/>
  <c r="K450" i="1"/>
  <c r="M310" i="7"/>
  <c r="P310" i="7" s="1"/>
  <c r="N28" i="17"/>
  <c r="K435" i="1"/>
  <c r="P118" i="13"/>
  <c r="K270" i="1"/>
  <c r="M53" i="14"/>
  <c r="P53" i="14" s="1"/>
  <c r="O333" i="10"/>
  <c r="P120" i="13"/>
  <c r="K376" i="1"/>
  <c r="P142" i="4"/>
  <c r="O16" i="4"/>
  <c r="P68" i="6"/>
  <c r="K474" i="1"/>
  <c r="P142" i="10"/>
  <c r="K420" i="1"/>
  <c r="K215" i="1"/>
  <c r="P144" i="1"/>
  <c r="O333" i="13"/>
  <c r="N250" i="18"/>
  <c r="P250" i="18" s="1"/>
  <c r="N29" i="8"/>
  <c r="N28" i="8" s="1"/>
  <c r="K597" i="1"/>
  <c r="O640" i="17"/>
  <c r="L96" i="13"/>
  <c r="O96" i="13" s="1"/>
  <c r="O352" i="1"/>
  <c r="O649" i="1"/>
  <c r="N140" i="12"/>
  <c r="P140" i="12" s="1"/>
  <c r="L252" i="10"/>
  <c r="O252" i="10" s="1"/>
  <c r="P222" i="16"/>
  <c r="K149" i="1"/>
  <c r="P68" i="4"/>
  <c r="P331" i="17"/>
  <c r="P57" i="1"/>
  <c r="M290" i="2"/>
  <c r="P290" i="2" s="1"/>
  <c r="K93" i="1"/>
  <c r="O651" i="1"/>
  <c r="M12" i="2"/>
  <c r="M10" i="2" s="1"/>
  <c r="P142" i="16"/>
  <c r="K580" i="1"/>
  <c r="K424" i="1"/>
  <c r="K213" i="1"/>
  <c r="M41" i="16"/>
  <c r="P41" i="16" s="1"/>
  <c r="L142" i="8"/>
  <c r="P271" i="18"/>
  <c r="P118" i="11"/>
  <c r="L96" i="18"/>
  <c r="O96" i="18" s="1"/>
  <c r="O142" i="16"/>
  <c r="M26" i="14"/>
  <c r="M20" i="14" s="1"/>
  <c r="O331" i="13"/>
  <c r="P43" i="9"/>
  <c r="P337" i="8"/>
  <c r="L142" i="6"/>
  <c r="O142" i="6" s="1"/>
  <c r="N20" i="6"/>
  <c r="N18" i="6" s="1"/>
  <c r="K618" i="1"/>
  <c r="K267" i="1"/>
  <c r="K635" i="1"/>
  <c r="O439" i="1"/>
  <c r="L68" i="8"/>
  <c r="O68" i="8" s="1"/>
  <c r="K86" i="1"/>
  <c r="P120" i="11"/>
  <c r="K201" i="1"/>
  <c r="K189" i="1"/>
  <c r="L292" i="2"/>
  <c r="O292" i="2" s="1"/>
  <c r="O222" i="2"/>
  <c r="L142" i="4"/>
  <c r="O142" i="4" s="1"/>
  <c r="L312" i="2"/>
  <c r="L310" i="2" s="1"/>
  <c r="O310" i="2" s="1"/>
  <c r="K466" i="1"/>
  <c r="O74" i="1"/>
  <c r="O70" i="10"/>
  <c r="M20" i="5"/>
  <c r="M18" i="5" s="1"/>
  <c r="K117" i="1"/>
  <c r="M66" i="6"/>
  <c r="P66" i="6" s="1"/>
  <c r="P254" i="1"/>
  <c r="O144" i="18"/>
  <c r="L252" i="4"/>
  <c r="O252" i="4" s="1"/>
  <c r="N66" i="3"/>
  <c r="O66" i="3" s="1"/>
  <c r="P292" i="18"/>
  <c r="P331" i="8"/>
  <c r="O275" i="4"/>
  <c r="N644" i="1"/>
  <c r="N640" i="1" s="1"/>
  <c r="N638" i="1" s="1"/>
  <c r="N636" i="1" s="1"/>
  <c r="M94" i="10"/>
  <c r="P94" i="10" s="1"/>
  <c r="O70" i="18"/>
  <c r="N28" i="13"/>
  <c r="O333" i="12"/>
  <c r="O68" i="18"/>
  <c r="N29" i="14"/>
  <c r="N28" i="14" s="1"/>
  <c r="N271" i="6"/>
  <c r="P271" i="6" s="1"/>
  <c r="O142" i="7"/>
  <c r="P68" i="3"/>
  <c r="O580" i="1"/>
  <c r="O553" i="1"/>
  <c r="M290" i="17"/>
  <c r="P290" i="17" s="1"/>
  <c r="O70" i="15"/>
  <c r="P337" i="14"/>
  <c r="O275" i="16"/>
  <c r="O122" i="7"/>
  <c r="L142" i="5"/>
  <c r="O142" i="5" s="1"/>
  <c r="N220" i="2"/>
  <c r="L222" i="5"/>
  <c r="O222" i="5" s="1"/>
  <c r="K615" i="1"/>
  <c r="K396" i="1"/>
  <c r="P22" i="2"/>
  <c r="P41" i="18"/>
  <c r="P140" i="16"/>
  <c r="N140" i="7"/>
  <c r="P140" i="7" s="1"/>
  <c r="L312" i="6"/>
  <c r="O312" i="6" s="1"/>
  <c r="L68" i="6"/>
  <c r="O68" i="6" s="1"/>
  <c r="K633" i="1"/>
  <c r="O34" i="17"/>
  <c r="M310" i="10"/>
  <c r="P310" i="10" s="1"/>
  <c r="P222" i="18"/>
  <c r="M310" i="16"/>
  <c r="P310" i="16" s="1"/>
  <c r="N329" i="3"/>
  <c r="P329" i="3" s="1"/>
  <c r="L43" i="10"/>
  <c r="L41" i="10" s="1"/>
  <c r="O41" i="10" s="1"/>
  <c r="L142" i="10"/>
  <c r="O142" i="10" s="1"/>
  <c r="P271" i="7"/>
  <c r="O70" i="11"/>
  <c r="K85" i="1"/>
  <c r="K631" i="1"/>
  <c r="O533" i="1"/>
  <c r="N22" i="1"/>
  <c r="P271" i="15"/>
  <c r="L222" i="15"/>
  <c r="O222" i="15" s="1"/>
  <c r="K634" i="1"/>
  <c r="K611" i="1"/>
  <c r="P70" i="1"/>
  <c r="M329" i="8"/>
  <c r="P329" i="8" s="1"/>
  <c r="P53" i="8"/>
  <c r="O273" i="8"/>
  <c r="O224" i="18"/>
  <c r="L55" i="9"/>
  <c r="O55" i="9" s="1"/>
  <c r="P220" i="16"/>
  <c r="L331" i="6"/>
  <c r="O331" i="6" s="1"/>
  <c r="O224" i="8"/>
  <c r="L222" i="11"/>
  <c r="L120" i="9"/>
  <c r="O120" i="9" s="1"/>
  <c r="O34" i="7"/>
  <c r="N12" i="6"/>
  <c r="N28" i="6"/>
  <c r="N28" i="16"/>
  <c r="O32" i="17"/>
  <c r="M118" i="14"/>
  <c r="P118" i="14" s="1"/>
  <c r="O57" i="12"/>
  <c r="N271" i="10"/>
  <c r="O271" i="10" s="1"/>
  <c r="O275" i="8"/>
  <c r="L331" i="2"/>
  <c r="L329" i="2" s="1"/>
  <c r="O329" i="2" s="1"/>
  <c r="P120" i="5"/>
  <c r="P41" i="9"/>
  <c r="O34" i="16"/>
  <c r="P43" i="11"/>
  <c r="L11" i="2"/>
  <c r="L9" i="2" s="1"/>
  <c r="P252" i="11"/>
  <c r="M118" i="7"/>
  <c r="P118" i="7" s="1"/>
  <c r="P41" i="15"/>
  <c r="P118" i="5"/>
  <c r="P312" i="18"/>
  <c r="O314" i="18"/>
  <c r="O333" i="15"/>
  <c r="L29" i="15"/>
  <c r="O29" i="15" s="1"/>
  <c r="P53" i="7"/>
  <c r="L55" i="3"/>
  <c r="O55" i="3" s="1"/>
  <c r="N28" i="3"/>
  <c r="P68" i="5"/>
  <c r="P142" i="9"/>
  <c r="O148" i="1"/>
  <c r="L220" i="9"/>
  <c r="O220" i="9" s="1"/>
  <c r="M250" i="10"/>
  <c r="P250" i="10" s="1"/>
  <c r="O30" i="18"/>
  <c r="L94" i="15"/>
  <c r="O94" i="15" s="1"/>
  <c r="L96" i="17"/>
  <c r="L94" i="17" s="1"/>
  <c r="O94" i="17" s="1"/>
  <c r="L9" i="15"/>
  <c r="O9" i="15" s="1"/>
  <c r="P55" i="2"/>
  <c r="P102" i="3"/>
  <c r="N11" i="7"/>
  <c r="N9" i="7" s="1"/>
  <c r="L43" i="17"/>
  <c r="L41" i="17" s="1"/>
  <c r="K200" i="1"/>
  <c r="L331" i="18"/>
  <c r="M26" i="3"/>
  <c r="M16" i="3" s="1"/>
  <c r="P16" i="3" s="1"/>
  <c r="L292" i="7"/>
  <c r="O292" i="7" s="1"/>
  <c r="P22" i="5"/>
  <c r="K133" i="1"/>
  <c r="N11" i="6"/>
  <c r="N9" i="6" s="1"/>
  <c r="M94" i="18"/>
  <c r="P94" i="18" s="1"/>
  <c r="N292" i="1"/>
  <c r="O254" i="15"/>
  <c r="N120" i="1"/>
  <c r="J671" i="1"/>
  <c r="K671" i="1" s="1"/>
  <c r="L222" i="7"/>
  <c r="K369" i="1"/>
  <c r="I367" i="1"/>
  <c r="K367" i="1" s="1"/>
  <c r="L292" i="14"/>
  <c r="L290" i="14" s="1"/>
  <c r="O290" i="14" s="1"/>
  <c r="L43" i="9"/>
  <c r="L41" i="9" s="1"/>
  <c r="O68" i="10"/>
  <c r="P53" i="6"/>
  <c r="M310" i="3"/>
  <c r="P310" i="3" s="1"/>
  <c r="P222" i="5"/>
  <c r="P120" i="15"/>
  <c r="O254" i="17"/>
  <c r="M94" i="2"/>
  <c r="P94" i="2" s="1"/>
  <c r="L55" i="18"/>
  <c r="N41" i="17"/>
  <c r="P16" i="13"/>
  <c r="P271" i="13"/>
  <c r="N66" i="12"/>
  <c r="M290" i="9"/>
  <c r="P290" i="9" s="1"/>
  <c r="L252" i="3"/>
  <c r="O252" i="3" s="1"/>
  <c r="N11" i="3"/>
  <c r="N9" i="3" s="1"/>
  <c r="N312" i="1"/>
  <c r="P55" i="6"/>
  <c r="N33" i="1"/>
  <c r="N13" i="1" s="1"/>
  <c r="K185" i="1"/>
  <c r="P43" i="18"/>
  <c r="O120" i="4"/>
  <c r="L252" i="18"/>
  <c r="O252" i="18" s="1"/>
  <c r="P26" i="13"/>
  <c r="O45" i="12"/>
  <c r="L120" i="10"/>
  <c r="O120" i="10" s="1"/>
  <c r="P22" i="7"/>
  <c r="L331" i="4"/>
  <c r="O331" i="4" s="1"/>
  <c r="O34" i="3"/>
  <c r="K668" i="1"/>
  <c r="L43" i="7"/>
  <c r="O43" i="7" s="1"/>
  <c r="L96" i="3"/>
  <c r="O96" i="3" s="1"/>
  <c r="K455" i="1"/>
  <c r="L96" i="9"/>
  <c r="L94" i="9" s="1"/>
  <c r="O94" i="9" s="1"/>
  <c r="P312" i="2"/>
  <c r="P273" i="12"/>
  <c r="P118" i="15"/>
  <c r="O252" i="6"/>
  <c r="P222" i="17"/>
  <c r="P43" i="17"/>
  <c r="O273" i="11"/>
  <c r="L273" i="2"/>
  <c r="L271" i="2" s="1"/>
  <c r="O70" i="3"/>
  <c r="P273" i="16"/>
  <c r="L292" i="13"/>
  <c r="O292" i="13" s="1"/>
  <c r="P271" i="12"/>
  <c r="N142" i="1"/>
  <c r="N53" i="18"/>
  <c r="P53" i="18" s="1"/>
  <c r="L312" i="15"/>
  <c r="O312" i="15" s="1"/>
  <c r="L55" i="13"/>
  <c r="O55" i="13" s="1"/>
  <c r="O43" i="11"/>
  <c r="O34" i="6"/>
  <c r="L68" i="7"/>
  <c r="O68" i="7" s="1"/>
  <c r="P250" i="6"/>
  <c r="O34" i="15"/>
  <c r="O122" i="3"/>
  <c r="K425" i="1"/>
  <c r="P142" i="11"/>
  <c r="L96" i="10"/>
  <c r="L94" i="10" s="1"/>
  <c r="O94" i="10" s="1"/>
  <c r="L312" i="9"/>
  <c r="O312" i="9" s="1"/>
  <c r="N140" i="17"/>
  <c r="P140" i="17" s="1"/>
  <c r="P220" i="8"/>
  <c r="O294" i="15"/>
  <c r="O122" i="12"/>
  <c r="P68" i="18"/>
  <c r="N11" i="17"/>
  <c r="N9" i="17" s="1"/>
  <c r="O122" i="11"/>
  <c r="P273" i="5"/>
  <c r="P22" i="8"/>
  <c r="K88" i="1"/>
  <c r="M220" i="10"/>
  <c r="P220" i="10" s="1"/>
  <c r="P96" i="8"/>
  <c r="O252" i="2"/>
  <c r="O601" i="1"/>
  <c r="O312" i="5"/>
  <c r="L310" i="5"/>
  <c r="O310" i="5" s="1"/>
  <c r="O120" i="11"/>
  <c r="L118" i="11"/>
  <c r="O118" i="11" s="1"/>
  <c r="L140" i="12"/>
  <c r="O142" i="12"/>
  <c r="O331" i="11"/>
  <c r="L329" i="11"/>
  <c r="O329" i="11" s="1"/>
  <c r="N28" i="18"/>
  <c r="M28" i="4"/>
  <c r="P28" i="4" s="1"/>
  <c r="P29" i="4"/>
  <c r="N310" i="16"/>
  <c r="N37" i="16" s="1"/>
  <c r="M271" i="14"/>
  <c r="P271" i="14" s="1"/>
  <c r="O57" i="10"/>
  <c r="L252" i="9"/>
  <c r="O331" i="12"/>
  <c r="O273" i="4"/>
  <c r="M28" i="7"/>
  <c r="P28" i="7" s="1"/>
  <c r="O222" i="3"/>
  <c r="K132" i="1"/>
  <c r="N37" i="5"/>
  <c r="K82" i="1"/>
  <c r="M329" i="16"/>
  <c r="P329" i="16" s="1"/>
  <c r="L122" i="1"/>
  <c r="O122" i="1" s="1"/>
  <c r="L120" i="13"/>
  <c r="P11" i="6"/>
  <c r="M9" i="6"/>
  <c r="P9" i="6" s="1"/>
  <c r="M66" i="13"/>
  <c r="P66" i="13" s="1"/>
  <c r="N66" i="11"/>
  <c r="P66" i="11" s="1"/>
  <c r="O224" i="12"/>
  <c r="L292" i="8"/>
  <c r="O292" i="8" s="1"/>
  <c r="L53" i="10"/>
  <c r="O53" i="10" s="1"/>
  <c r="P273" i="4"/>
  <c r="P66" i="4"/>
  <c r="O26" i="4"/>
  <c r="O68" i="4"/>
  <c r="P142" i="18"/>
  <c r="N140" i="14"/>
  <c r="P140" i="14" s="1"/>
  <c r="N20" i="4"/>
  <c r="N18" i="4" s="1"/>
  <c r="M220" i="5"/>
  <c r="P220" i="5" s="1"/>
  <c r="P273" i="18"/>
  <c r="L22" i="12"/>
  <c r="O22" i="12" s="1"/>
  <c r="O32" i="18"/>
  <c r="P53" i="12"/>
  <c r="P329" i="10"/>
  <c r="O273" i="10"/>
  <c r="M310" i="5"/>
  <c r="P310" i="5" s="1"/>
  <c r="L292" i="3"/>
  <c r="L290" i="3" s="1"/>
  <c r="O290" i="3" s="1"/>
  <c r="L98" i="1"/>
  <c r="O98" i="1" s="1"/>
  <c r="M118" i="17"/>
  <c r="P118" i="17" s="1"/>
  <c r="L120" i="14"/>
  <c r="L118" i="14" s="1"/>
  <c r="O118" i="14" s="1"/>
  <c r="L22" i="6"/>
  <c r="O22" i="6" s="1"/>
  <c r="M140" i="3"/>
  <c r="P140" i="3" s="1"/>
  <c r="L638" i="17"/>
  <c r="L636" i="17" s="1"/>
  <c r="O636" i="17" s="1"/>
  <c r="L220" i="13"/>
  <c r="O220" i="13" s="1"/>
  <c r="L22" i="13"/>
  <c r="L12" i="13" s="1"/>
  <c r="P331" i="10"/>
  <c r="O34" i="10"/>
  <c r="O275" i="10"/>
  <c r="L22" i="9"/>
  <c r="L12" i="9" s="1"/>
  <c r="M9" i="9"/>
  <c r="L331" i="5"/>
  <c r="O331" i="5" s="1"/>
  <c r="L55" i="2"/>
  <c r="L53" i="2" s="1"/>
  <c r="O53" i="2" s="1"/>
  <c r="M140" i="11"/>
  <c r="P140" i="11" s="1"/>
  <c r="P43" i="3"/>
  <c r="O144" i="12"/>
  <c r="P15" i="5"/>
  <c r="M9" i="5"/>
  <c r="P9" i="5" s="1"/>
  <c r="L22" i="10"/>
  <c r="L20" i="10" s="1"/>
  <c r="L18" i="10" s="1"/>
  <c r="L22" i="15"/>
  <c r="O22" i="15" s="1"/>
  <c r="L292" i="17"/>
  <c r="O292" i="17" s="1"/>
  <c r="O34" i="13"/>
  <c r="O98" i="11"/>
  <c r="L96" i="6"/>
  <c r="O96" i="6" s="1"/>
  <c r="K350" i="1"/>
  <c r="O70" i="4"/>
  <c r="O31" i="2"/>
  <c r="K285" i="1"/>
  <c r="N140" i="2"/>
  <c r="P140" i="2" s="1"/>
  <c r="P329" i="17"/>
  <c r="O34" i="8"/>
  <c r="O66" i="4"/>
  <c r="M290" i="18"/>
  <c r="P290" i="18" s="1"/>
  <c r="M9" i="16"/>
  <c r="M310" i="11"/>
  <c r="P310" i="11" s="1"/>
  <c r="M290" i="7"/>
  <c r="P290" i="7" s="1"/>
  <c r="N28" i="7"/>
  <c r="M9" i="3"/>
  <c r="P9" i="3" s="1"/>
  <c r="L14" i="13"/>
  <c r="O14" i="13" s="1"/>
  <c r="L29" i="17"/>
  <c r="L28" i="17" s="1"/>
  <c r="N31" i="1"/>
  <c r="N29" i="1" s="1"/>
  <c r="P252" i="6"/>
  <c r="L290" i="16"/>
  <c r="O290" i="16" s="1"/>
  <c r="N118" i="14"/>
  <c r="P273" i="11"/>
  <c r="O333" i="17"/>
  <c r="L331" i="17"/>
  <c r="M220" i="13"/>
  <c r="P220" i="13" s="1"/>
  <c r="P222" i="13"/>
  <c r="L24" i="1"/>
  <c r="O24" i="1" s="1"/>
  <c r="M53" i="13"/>
  <c r="P53" i="13" s="1"/>
  <c r="L333" i="1"/>
  <c r="O333" i="1" s="1"/>
  <c r="P271" i="5"/>
  <c r="P222" i="4"/>
  <c r="P102" i="6"/>
  <c r="M96" i="6"/>
  <c r="M26" i="6"/>
  <c r="M16" i="6" s="1"/>
  <c r="P96" i="11"/>
  <c r="M94" i="11"/>
  <c r="P94" i="11" s="1"/>
  <c r="M271" i="2"/>
  <c r="P271" i="2" s="1"/>
  <c r="P273" i="2"/>
  <c r="P252" i="2"/>
  <c r="M250" i="2"/>
  <c r="P250" i="2" s="1"/>
  <c r="O252" i="17"/>
  <c r="L22" i="16"/>
  <c r="L20" i="16" s="1"/>
  <c r="P252" i="17"/>
  <c r="M140" i="15"/>
  <c r="P140" i="15" s="1"/>
  <c r="P331" i="13"/>
  <c r="N11" i="12"/>
  <c r="N9" i="12" s="1"/>
  <c r="N94" i="12"/>
  <c r="M329" i="11"/>
  <c r="P329" i="11" s="1"/>
  <c r="O34" i="11"/>
  <c r="M250" i="9"/>
  <c r="P250" i="9" s="1"/>
  <c r="N68" i="1"/>
  <c r="M53" i="2"/>
  <c r="P53" i="2" s="1"/>
  <c r="N41" i="2"/>
  <c r="O41" i="2" s="1"/>
  <c r="M271" i="4"/>
  <c r="P271" i="4" s="1"/>
  <c r="L220" i="3"/>
  <c r="O220" i="3" s="1"/>
  <c r="M41" i="17"/>
  <c r="M310" i="6"/>
  <c r="P310" i="6" s="1"/>
  <c r="K417" i="1"/>
  <c r="K560" i="1"/>
  <c r="K368" i="1"/>
  <c r="O26" i="18"/>
  <c r="O55" i="15"/>
  <c r="L53" i="15"/>
  <c r="N20" i="13"/>
  <c r="N18" i="13" s="1"/>
  <c r="M250" i="8"/>
  <c r="P250" i="8" s="1"/>
  <c r="P252" i="8"/>
  <c r="M140" i="5"/>
  <c r="P140" i="5" s="1"/>
  <c r="P142" i="5"/>
  <c r="N66" i="18"/>
  <c r="P66" i="18" s="1"/>
  <c r="M310" i="17"/>
  <c r="P310" i="17" s="1"/>
  <c r="M220" i="18"/>
  <c r="P220" i="18" s="1"/>
  <c r="N11" i="16"/>
  <c r="N9" i="16" s="1"/>
  <c r="L14" i="15"/>
  <c r="O14" i="15" s="1"/>
  <c r="O43" i="12"/>
  <c r="N37" i="9"/>
  <c r="L13" i="9"/>
  <c r="O13" i="9" s="1"/>
  <c r="L140" i="7"/>
  <c r="P250" i="11"/>
  <c r="N329" i="13"/>
  <c r="L41" i="11"/>
  <c r="O41" i="11" s="1"/>
  <c r="L250" i="6"/>
  <c r="O250" i="6" s="1"/>
  <c r="O16" i="18"/>
  <c r="L273" i="17"/>
  <c r="O275" i="17"/>
  <c r="M310" i="15"/>
  <c r="P310" i="15" s="1"/>
  <c r="L94" i="16"/>
  <c r="O94" i="16" s="1"/>
  <c r="O96" i="16"/>
  <c r="M310" i="14"/>
  <c r="P310" i="14" s="1"/>
  <c r="P312" i="14"/>
  <c r="L55" i="14"/>
  <c r="O57" i="14"/>
  <c r="M290" i="8"/>
  <c r="P290" i="8" s="1"/>
  <c r="P292" i="8"/>
  <c r="O294" i="10"/>
  <c r="L292" i="10"/>
  <c r="M53" i="9"/>
  <c r="P53" i="9" s="1"/>
  <c r="P55" i="9"/>
  <c r="M329" i="4"/>
  <c r="P329" i="4" s="1"/>
  <c r="P331" i="4"/>
  <c r="M290" i="4"/>
  <c r="P290" i="4" s="1"/>
  <c r="M290" i="16"/>
  <c r="P290" i="16" s="1"/>
  <c r="N329" i="12"/>
  <c r="O329" i="12" s="1"/>
  <c r="L271" i="8"/>
  <c r="O271" i="8" s="1"/>
  <c r="P94" i="8"/>
  <c r="N96" i="1"/>
  <c r="O94" i="8"/>
  <c r="O222" i="18"/>
  <c r="L220" i="18"/>
  <c r="O220" i="18" s="1"/>
  <c r="N290" i="15"/>
  <c r="N290" i="1" s="1"/>
  <c r="P120" i="16"/>
  <c r="M118" i="16"/>
  <c r="P118" i="16" s="1"/>
  <c r="P252" i="12"/>
  <c r="M250" i="12"/>
  <c r="P250" i="12" s="1"/>
  <c r="P120" i="10"/>
  <c r="M118" i="10"/>
  <c r="P118" i="10" s="1"/>
  <c r="L118" i="6"/>
  <c r="O118" i="6" s="1"/>
  <c r="O120" i="6"/>
  <c r="P96" i="9"/>
  <c r="M94" i="9"/>
  <c r="P94" i="9" s="1"/>
  <c r="M118" i="3"/>
  <c r="P118" i="3" s="1"/>
  <c r="M310" i="8"/>
  <c r="P310" i="8" s="1"/>
  <c r="P312" i="8"/>
  <c r="L224" i="1"/>
  <c r="O224" i="1" s="1"/>
  <c r="N222" i="1"/>
  <c r="M250" i="15"/>
  <c r="P250" i="15" s="1"/>
  <c r="P252" i="15"/>
  <c r="M26" i="16"/>
  <c r="M20" i="16" s="1"/>
  <c r="P74" i="16"/>
  <c r="M68" i="16"/>
  <c r="M220" i="14"/>
  <c r="P220" i="14" s="1"/>
  <c r="P222" i="14"/>
  <c r="M290" i="13"/>
  <c r="P290" i="13" s="1"/>
  <c r="P292" i="13"/>
  <c r="P222" i="12"/>
  <c r="M220" i="12"/>
  <c r="P220" i="12" s="1"/>
  <c r="P68" i="9"/>
  <c r="M66" i="9"/>
  <c r="P66" i="9" s="1"/>
  <c r="O224" i="6"/>
  <c r="L222" i="6"/>
  <c r="N53" i="4"/>
  <c r="P53" i="4" s="1"/>
  <c r="P55" i="4"/>
  <c r="L94" i="4"/>
  <c r="O94" i="4" s="1"/>
  <c r="O96" i="4"/>
  <c r="L66" i="10"/>
  <c r="O66" i="10" s="1"/>
  <c r="L57" i="1"/>
  <c r="L55" i="1" s="1"/>
  <c r="P273" i="17"/>
  <c r="M271" i="17"/>
  <c r="P271" i="17" s="1"/>
  <c r="P312" i="12"/>
  <c r="M310" i="12"/>
  <c r="P310" i="12" s="1"/>
  <c r="O120" i="8"/>
  <c r="L118" i="8"/>
  <c r="O118" i="8" s="1"/>
  <c r="L294" i="1"/>
  <c r="O294" i="1" s="1"/>
  <c r="L275" i="1"/>
  <c r="O275" i="1" s="1"/>
  <c r="P142" i="8"/>
  <c r="M140" i="8"/>
  <c r="P140" i="8" s="1"/>
  <c r="O640" i="3"/>
  <c r="L638" i="3"/>
  <c r="N252" i="1"/>
  <c r="K419" i="1"/>
  <c r="M118" i="18"/>
  <c r="P118" i="18" s="1"/>
  <c r="P120" i="18"/>
  <c r="O331" i="15"/>
  <c r="L329" i="15"/>
  <c r="O329" i="15" s="1"/>
  <c r="L96" i="14"/>
  <c r="O98" i="14"/>
  <c r="L142" i="13"/>
  <c r="O144" i="13"/>
  <c r="M290" i="15"/>
  <c r="P290" i="15" s="1"/>
  <c r="P292" i="15"/>
  <c r="N29" i="9"/>
  <c r="N28" i="9" s="1"/>
  <c r="N11" i="9"/>
  <c r="N9" i="9" s="1"/>
  <c r="N11" i="4"/>
  <c r="N9" i="4" s="1"/>
  <c r="N29" i="4"/>
  <c r="N28" i="4" s="1"/>
  <c r="O275" i="7"/>
  <c r="L273" i="7"/>
  <c r="L271" i="7" s="1"/>
  <c r="O271" i="7" s="1"/>
  <c r="P102" i="5"/>
  <c r="M96" i="5"/>
  <c r="O11" i="6"/>
  <c r="L9" i="6"/>
  <c r="P43" i="8"/>
  <c r="M41" i="8"/>
  <c r="L250" i="17"/>
  <c r="O250" i="17" s="1"/>
  <c r="O24" i="12"/>
  <c r="L14" i="12"/>
  <c r="O14" i="12" s="1"/>
  <c r="O314" i="14"/>
  <c r="L312" i="14"/>
  <c r="O31" i="14"/>
  <c r="L11" i="14"/>
  <c r="L29" i="14"/>
  <c r="M26" i="7"/>
  <c r="P49" i="7"/>
  <c r="L13" i="10"/>
  <c r="O13" i="10" s="1"/>
  <c r="O23" i="10"/>
  <c r="L11" i="18"/>
  <c r="O31" i="18"/>
  <c r="L29" i="18"/>
  <c r="O68" i="11"/>
  <c r="L66" i="11"/>
  <c r="O45" i="18"/>
  <c r="L43" i="18"/>
  <c r="L22" i="18"/>
  <c r="N12" i="17"/>
  <c r="N10" i="17" s="1"/>
  <c r="N20" i="17"/>
  <c r="N18" i="17" s="1"/>
  <c r="M9" i="15"/>
  <c r="N66" i="15"/>
  <c r="N12" i="15"/>
  <c r="N10" i="15" s="1"/>
  <c r="N20" i="15"/>
  <c r="N18" i="15" s="1"/>
  <c r="O11" i="12"/>
  <c r="L9" i="12"/>
  <c r="P68" i="12"/>
  <c r="M66" i="12"/>
  <c r="M329" i="14"/>
  <c r="P329" i="14" s="1"/>
  <c r="N41" i="13"/>
  <c r="O120" i="12"/>
  <c r="L118" i="12"/>
  <c r="O41" i="12"/>
  <c r="L140" i="14"/>
  <c r="O142" i="14"/>
  <c r="P22" i="12"/>
  <c r="M12" i="12"/>
  <c r="M20" i="12"/>
  <c r="M9" i="12"/>
  <c r="P11" i="12"/>
  <c r="O32" i="13"/>
  <c r="L30" i="13"/>
  <c r="O30" i="13" s="1"/>
  <c r="L250" i="13"/>
  <c r="O250" i="13" s="1"/>
  <c r="P41" i="12"/>
  <c r="O24" i="10"/>
  <c r="L14" i="10"/>
  <c r="O14" i="10" s="1"/>
  <c r="M220" i="7"/>
  <c r="P220" i="7" s="1"/>
  <c r="M43" i="7"/>
  <c r="M41" i="11"/>
  <c r="O640" i="12"/>
  <c r="O19" i="12"/>
  <c r="O120" i="7"/>
  <c r="L118" i="7"/>
  <c r="O118" i="7" s="1"/>
  <c r="M9" i="10"/>
  <c r="P11" i="10"/>
  <c r="M9" i="13"/>
  <c r="P11" i="13"/>
  <c r="N250" i="7"/>
  <c r="L30" i="5"/>
  <c r="O30" i="5" s="1"/>
  <c r="O32" i="5"/>
  <c r="O57" i="5"/>
  <c r="L55" i="5"/>
  <c r="O333" i="7"/>
  <c r="L331" i="7"/>
  <c r="L271" i="4"/>
  <c r="O271" i="4" s="1"/>
  <c r="P26" i="11"/>
  <c r="M16" i="11"/>
  <c r="P16" i="11" s="1"/>
  <c r="L14" i="8"/>
  <c r="O14" i="8" s="1"/>
  <c r="O34" i="2"/>
  <c r="L14" i="2"/>
  <c r="O14" i="2" s="1"/>
  <c r="O337" i="1"/>
  <c r="M337" i="1"/>
  <c r="P337" i="1" s="1"/>
  <c r="M22" i="1"/>
  <c r="P45" i="1"/>
  <c r="L14" i="4"/>
  <c r="O14" i="4" s="1"/>
  <c r="O24" i="4"/>
  <c r="L13" i="3"/>
  <c r="O13" i="3" s="1"/>
  <c r="O23" i="3"/>
  <c r="P43" i="2"/>
  <c r="M41" i="2"/>
  <c r="K429" i="1"/>
  <c r="O385" i="1"/>
  <c r="P142" i="2"/>
  <c r="M142" i="1"/>
  <c r="O32" i="10"/>
  <c r="L30" i="10"/>
  <c r="O30" i="10" s="1"/>
  <c r="O222" i="8"/>
  <c r="L220" i="8"/>
  <c r="O220" i="8" s="1"/>
  <c r="O26" i="7"/>
  <c r="L16" i="7"/>
  <c r="O16" i="7" s="1"/>
  <c r="L14" i="5"/>
  <c r="O14" i="5" s="1"/>
  <c r="O24" i="5"/>
  <c r="O314" i="3"/>
  <c r="L312" i="3"/>
  <c r="L314" i="1"/>
  <c r="O314" i="1" s="1"/>
  <c r="O535" i="1"/>
  <c r="N34" i="1"/>
  <c r="N14" i="1" s="1"/>
  <c r="O57" i="17"/>
  <c r="L22" i="17"/>
  <c r="L55" i="17"/>
  <c r="O582" i="1"/>
  <c r="P11" i="1"/>
  <c r="M9" i="1"/>
  <c r="N32" i="1"/>
  <c r="N30" i="1" s="1"/>
  <c r="L26" i="1"/>
  <c r="M28" i="17"/>
  <c r="P28" i="17" s="1"/>
  <c r="P30" i="17"/>
  <c r="N11" i="10"/>
  <c r="N9" i="10" s="1"/>
  <c r="N29" i="10"/>
  <c r="N28" i="10" s="1"/>
  <c r="L29" i="10"/>
  <c r="O31" i="10"/>
  <c r="O638" i="12"/>
  <c r="L636" i="12"/>
  <c r="O636" i="12" s="1"/>
  <c r="M53" i="5"/>
  <c r="P53" i="5" s="1"/>
  <c r="P55" i="5"/>
  <c r="O32" i="8"/>
  <c r="L30" i="8"/>
  <c r="O30" i="8" s="1"/>
  <c r="P26" i="12"/>
  <c r="M16" i="12"/>
  <c r="P16" i="12" s="1"/>
  <c r="O26" i="11"/>
  <c r="L16" i="11"/>
  <c r="O16" i="11" s="1"/>
  <c r="O19" i="17"/>
  <c r="L9" i="7"/>
  <c r="O11" i="7"/>
  <c r="L29" i="8"/>
  <c r="O31" i="8"/>
  <c r="O45" i="5"/>
  <c r="L22" i="5"/>
  <c r="L43" i="5"/>
  <c r="O34" i="18"/>
  <c r="P310" i="18"/>
  <c r="M96" i="17"/>
  <c r="P102" i="17"/>
  <c r="P22" i="18"/>
  <c r="M12" i="18"/>
  <c r="M20" i="18"/>
  <c r="O24" i="18"/>
  <c r="L14" i="18"/>
  <c r="O14" i="18" s="1"/>
  <c r="O312" i="17"/>
  <c r="L310" i="17"/>
  <c r="O310" i="17" s="1"/>
  <c r="P55" i="17"/>
  <c r="M53" i="17"/>
  <c r="P53" i="17" s="1"/>
  <c r="M26" i="17"/>
  <c r="M20" i="17" s="1"/>
  <c r="O23" i="16"/>
  <c r="L13" i="16"/>
  <c r="O13" i="16" s="1"/>
  <c r="M250" i="16"/>
  <c r="P250" i="16" s="1"/>
  <c r="O43" i="16"/>
  <c r="L41" i="16"/>
  <c r="N29" i="15"/>
  <c r="N28" i="15" s="1"/>
  <c r="N11" i="15"/>
  <c r="N9" i="15" s="1"/>
  <c r="O640" i="15"/>
  <c r="L638" i="15"/>
  <c r="M28" i="15"/>
  <c r="P28" i="15" s="1"/>
  <c r="P29" i="15"/>
  <c r="M28" i="14"/>
  <c r="P28" i="14" s="1"/>
  <c r="P29" i="14"/>
  <c r="O26" i="16"/>
  <c r="L16" i="16"/>
  <c r="O16" i="16" s="1"/>
  <c r="P140" i="13"/>
  <c r="O23" i="14"/>
  <c r="L13" i="14"/>
  <c r="O13" i="14" s="1"/>
  <c r="O32" i="15"/>
  <c r="L30" i="15"/>
  <c r="O30" i="15" s="1"/>
  <c r="O31" i="13"/>
  <c r="L29" i="13"/>
  <c r="L11" i="13"/>
  <c r="O55" i="12"/>
  <c r="L53" i="12"/>
  <c r="O53" i="12" s="1"/>
  <c r="P96" i="13"/>
  <c r="M94" i="13"/>
  <c r="P94" i="13" s="1"/>
  <c r="O32" i="12"/>
  <c r="L30" i="12"/>
  <c r="O30" i="12" s="1"/>
  <c r="O34" i="12"/>
  <c r="L271" i="16"/>
  <c r="O271" i="16" s="1"/>
  <c r="O273" i="16"/>
  <c r="M9" i="14"/>
  <c r="P331" i="9"/>
  <c r="M329" i="9"/>
  <c r="P329" i="9" s="1"/>
  <c r="L30" i="9"/>
  <c r="O30" i="9" s="1"/>
  <c r="O32" i="9"/>
  <c r="O26" i="12"/>
  <c r="L16" i="12"/>
  <c r="O16" i="12" s="1"/>
  <c r="O34" i="9"/>
  <c r="O23" i="15"/>
  <c r="L13" i="15"/>
  <c r="O13" i="15" s="1"/>
  <c r="P19" i="11"/>
  <c r="O331" i="10"/>
  <c r="L329" i="10"/>
  <c r="O329" i="10" s="1"/>
  <c r="P26" i="10"/>
  <c r="M16" i="10"/>
  <c r="P16" i="10" s="1"/>
  <c r="P74" i="7"/>
  <c r="M74" i="1"/>
  <c r="P74" i="1" s="1"/>
  <c r="O19" i="8"/>
  <c r="O312" i="7"/>
  <c r="L310" i="7"/>
  <c r="O310" i="7" s="1"/>
  <c r="M28" i="13"/>
  <c r="P28" i="13" s="1"/>
  <c r="P29" i="13"/>
  <c r="P22" i="10"/>
  <c r="M12" i="10"/>
  <c r="M20" i="10"/>
  <c r="O43" i="8"/>
  <c r="P222" i="9"/>
  <c r="M220" i="9"/>
  <c r="O24" i="7"/>
  <c r="L14" i="7"/>
  <c r="O14" i="7" s="1"/>
  <c r="P26" i="18"/>
  <c r="M16" i="18"/>
  <c r="P16" i="18" s="1"/>
  <c r="O26" i="17"/>
  <c r="L16" i="17"/>
  <c r="O16" i="17" s="1"/>
  <c r="O640" i="10"/>
  <c r="L638" i="10"/>
  <c r="P9" i="7"/>
  <c r="O640" i="4"/>
  <c r="L638" i="4"/>
  <c r="N14" i="6"/>
  <c r="N16" i="6"/>
  <c r="L29" i="4"/>
  <c r="O31" i="4"/>
  <c r="O26" i="8"/>
  <c r="L16" i="8"/>
  <c r="O16" i="8" s="1"/>
  <c r="O26" i="2"/>
  <c r="L16" i="2"/>
  <c r="O16" i="2" s="1"/>
  <c r="O383" i="1"/>
  <c r="L32" i="1"/>
  <c r="N12" i="5"/>
  <c r="N10" i="5" s="1"/>
  <c r="N20" i="5"/>
  <c r="N18" i="5" s="1"/>
  <c r="O24" i="3"/>
  <c r="L14" i="3"/>
  <c r="O14" i="3" s="1"/>
  <c r="K398" i="1"/>
  <c r="O24" i="17"/>
  <c r="L14" i="17"/>
  <c r="O14" i="17" s="1"/>
  <c r="O19" i="6"/>
  <c r="O292" i="4"/>
  <c r="L290" i="4"/>
  <c r="O290" i="4" s="1"/>
  <c r="P19" i="1"/>
  <c r="L22" i="3"/>
  <c r="L640" i="1"/>
  <c r="P250" i="17"/>
  <c r="L41" i="14"/>
  <c r="O43" i="14"/>
  <c r="N11" i="13"/>
  <c r="N9" i="13" s="1"/>
  <c r="O640" i="7"/>
  <c r="L638" i="7"/>
  <c r="P19" i="10"/>
  <c r="L94" i="11"/>
  <c r="O94" i="11" s="1"/>
  <c r="O96" i="11"/>
  <c r="O23" i="8"/>
  <c r="L13" i="8"/>
  <c r="O13" i="8" s="1"/>
  <c r="P41" i="3"/>
  <c r="P273" i="3"/>
  <c r="M273" i="1"/>
  <c r="M271" i="3"/>
  <c r="P22" i="4"/>
  <c r="M12" i="4"/>
  <c r="M66" i="2"/>
  <c r="P68" i="2"/>
  <c r="N26" i="1"/>
  <c r="N16" i="1" s="1"/>
  <c r="N43" i="1"/>
  <c r="N41" i="1" s="1"/>
  <c r="O23" i="18"/>
  <c r="L13" i="18"/>
  <c r="O13" i="18" s="1"/>
  <c r="L118" i="18"/>
  <c r="O118" i="18" s="1"/>
  <c r="O120" i="18"/>
  <c r="O312" i="18"/>
  <c r="L310" i="18"/>
  <c r="O310" i="18" s="1"/>
  <c r="O23" i="17"/>
  <c r="L13" i="17"/>
  <c r="O13" i="17" s="1"/>
  <c r="M28" i="16"/>
  <c r="P28" i="16" s="1"/>
  <c r="P29" i="16"/>
  <c r="P22" i="17"/>
  <c r="M12" i="17"/>
  <c r="O640" i="16"/>
  <c r="L638" i="16"/>
  <c r="O70" i="16"/>
  <c r="L68" i="16"/>
  <c r="N20" i="18"/>
  <c r="N18" i="18" s="1"/>
  <c r="N12" i="18"/>
  <c r="N10" i="18" s="1"/>
  <c r="P19" i="17"/>
  <c r="P26" i="15"/>
  <c r="M16" i="15"/>
  <c r="P16" i="15" s="1"/>
  <c r="O32" i="16"/>
  <c r="L30" i="16"/>
  <c r="O30" i="16" s="1"/>
  <c r="N20" i="14"/>
  <c r="N18" i="14" s="1"/>
  <c r="N12" i="14"/>
  <c r="N10" i="14" s="1"/>
  <c r="N8" i="14" s="1"/>
  <c r="O23" i="12"/>
  <c r="L13" i="12"/>
  <c r="O13" i="12" s="1"/>
  <c r="N28" i="12"/>
  <c r="P96" i="12"/>
  <c r="P26" i="9"/>
  <c r="M16" i="9"/>
  <c r="P16" i="9" s="1"/>
  <c r="P41" i="14"/>
  <c r="M96" i="7"/>
  <c r="P102" i="7"/>
  <c r="M102" i="1"/>
  <c r="P102" i="1" s="1"/>
  <c r="O144" i="15"/>
  <c r="L142" i="15"/>
  <c r="O31" i="12"/>
  <c r="L29" i="12"/>
  <c r="M9" i="11"/>
  <c r="P11" i="11"/>
  <c r="N271" i="11"/>
  <c r="M66" i="10"/>
  <c r="P66" i="10" s="1"/>
  <c r="P68" i="10"/>
  <c r="P19" i="8"/>
  <c r="P49" i="8"/>
  <c r="M26" i="8"/>
  <c r="L11" i="8"/>
  <c r="N12" i="10"/>
  <c r="N10" i="10" s="1"/>
  <c r="N20" i="10"/>
  <c r="N18" i="10" s="1"/>
  <c r="P43" i="10"/>
  <c r="M41" i="10"/>
  <c r="L13" i="7"/>
  <c r="O13" i="7" s="1"/>
  <c r="M12" i="9"/>
  <c r="M20" i="9"/>
  <c r="P22" i="9"/>
  <c r="L250" i="7"/>
  <c r="O250" i="7" s="1"/>
  <c r="L638" i="6"/>
  <c r="O640" i="6"/>
  <c r="L14" i="6"/>
  <c r="O24" i="6"/>
  <c r="O31" i="5"/>
  <c r="L29" i="5"/>
  <c r="O32" i="4"/>
  <c r="L30" i="4"/>
  <c r="O30" i="4" s="1"/>
  <c r="O29" i="3"/>
  <c r="O640" i="18"/>
  <c r="L638" i="18"/>
  <c r="L22" i="7"/>
  <c r="N28" i="5"/>
  <c r="M94" i="4"/>
  <c r="P94" i="4" s="1"/>
  <c r="P96" i="4"/>
  <c r="P22" i="3"/>
  <c r="M12" i="3"/>
  <c r="P120" i="2"/>
  <c r="M120" i="1"/>
  <c r="M118" i="2"/>
  <c r="O21" i="1"/>
  <c r="L19" i="1"/>
  <c r="O34" i="4"/>
  <c r="O55" i="6"/>
  <c r="L53" i="6"/>
  <c r="O53" i="6" s="1"/>
  <c r="O26" i="5"/>
  <c r="L16" i="5"/>
  <c r="O16" i="5" s="1"/>
  <c r="L11" i="4"/>
  <c r="M94" i="3"/>
  <c r="P96" i="3"/>
  <c r="O640" i="2"/>
  <c r="L638" i="2"/>
  <c r="K551" i="1"/>
  <c r="K380" i="1"/>
  <c r="L45" i="1"/>
  <c r="L34" i="1"/>
  <c r="M20" i="15"/>
  <c r="M12" i="15"/>
  <c r="P22" i="15"/>
  <c r="O32" i="14"/>
  <c r="L30" i="14"/>
  <c r="O30" i="14" s="1"/>
  <c r="M12" i="14"/>
  <c r="P22" i="14"/>
  <c r="P19" i="12"/>
  <c r="N12" i="11"/>
  <c r="N10" i="11" s="1"/>
  <c r="N20" i="11"/>
  <c r="N18" i="11" s="1"/>
  <c r="L11" i="10"/>
  <c r="N20" i="9"/>
  <c r="N18" i="9" s="1"/>
  <c r="N12" i="9"/>
  <c r="N10" i="9" s="1"/>
  <c r="O23" i="5"/>
  <c r="L13" i="5"/>
  <c r="O13" i="5" s="1"/>
  <c r="K431" i="1"/>
  <c r="N11" i="2"/>
  <c r="N9" i="2" s="1"/>
  <c r="N29" i="2"/>
  <c r="N28" i="2" s="1"/>
  <c r="N20" i="3"/>
  <c r="N18" i="3" s="1"/>
  <c r="N12" i="3"/>
  <c r="N10" i="3" s="1"/>
  <c r="O49" i="1"/>
  <c r="L140" i="18"/>
  <c r="O140" i="18" s="1"/>
  <c r="O70" i="17"/>
  <c r="L68" i="17"/>
  <c r="P9" i="16"/>
  <c r="P19" i="16"/>
  <c r="P55" i="16"/>
  <c r="M53" i="16"/>
  <c r="P53" i="16" s="1"/>
  <c r="O252" i="15"/>
  <c r="L250" i="15"/>
  <c r="O250" i="15" s="1"/>
  <c r="L16" i="15"/>
  <c r="O16" i="15" s="1"/>
  <c r="O26" i="15"/>
  <c r="M9" i="17"/>
  <c r="P15" i="17"/>
  <c r="P331" i="15"/>
  <c r="M329" i="15"/>
  <c r="P329" i="15" s="1"/>
  <c r="O273" i="15"/>
  <c r="L271" i="15"/>
  <c r="O271" i="15" s="1"/>
  <c r="L16" i="13"/>
  <c r="O16" i="13" s="1"/>
  <c r="O26" i="13"/>
  <c r="L290" i="15"/>
  <c r="O290" i="15" s="1"/>
  <c r="O292" i="15"/>
  <c r="O34" i="14"/>
  <c r="M12" i="13"/>
  <c r="M20" i="13"/>
  <c r="P22" i="13"/>
  <c r="O254" i="14"/>
  <c r="L252" i="14"/>
  <c r="L22" i="14"/>
  <c r="L220" i="12"/>
  <c r="O220" i="12" s="1"/>
  <c r="O70" i="13"/>
  <c r="L68" i="13"/>
  <c r="O32" i="11"/>
  <c r="L30" i="11"/>
  <c r="O30" i="11" s="1"/>
  <c r="O640" i="9"/>
  <c r="L638" i="9"/>
  <c r="O640" i="14"/>
  <c r="L638" i="14"/>
  <c r="L290" i="12"/>
  <c r="O290" i="12" s="1"/>
  <c r="O292" i="12"/>
  <c r="O640" i="11"/>
  <c r="L638" i="11"/>
  <c r="L29" i="11"/>
  <c r="O31" i="11"/>
  <c r="P22" i="11"/>
  <c r="M12" i="11"/>
  <c r="M20" i="11"/>
  <c r="M18" i="11" s="1"/>
  <c r="O57" i="11"/>
  <c r="L22" i="11"/>
  <c r="L55" i="11"/>
  <c r="P29" i="9"/>
  <c r="M28" i="9"/>
  <c r="P28" i="9" s="1"/>
  <c r="M331" i="7"/>
  <c r="P337" i="7"/>
  <c r="M9" i="8"/>
  <c r="P11" i="8"/>
  <c r="P19" i="5"/>
  <c r="O19" i="11"/>
  <c r="N12" i="7"/>
  <c r="N10" i="7" s="1"/>
  <c r="N20" i="7"/>
  <c r="N18" i="7" s="1"/>
  <c r="M94" i="12"/>
  <c r="P43" i="6"/>
  <c r="M41" i="6"/>
  <c r="M329" i="18"/>
  <c r="P329" i="18" s="1"/>
  <c r="P331" i="18"/>
  <c r="P22" i="6"/>
  <c r="M12" i="6"/>
  <c r="P43" i="5"/>
  <c r="M41" i="5"/>
  <c r="P11" i="4"/>
  <c r="M9" i="4"/>
  <c r="P275" i="1"/>
  <c r="P9" i="9"/>
  <c r="O640" i="5"/>
  <c r="L638" i="5"/>
  <c r="P55" i="3"/>
  <c r="M53" i="3"/>
  <c r="P53" i="3" s="1"/>
  <c r="O32" i="2"/>
  <c r="L30" i="2"/>
  <c r="L33" i="1"/>
  <c r="O33" i="1" s="1"/>
  <c r="O353" i="1"/>
  <c r="M220" i="3"/>
  <c r="P222" i="3"/>
  <c r="M222" i="1"/>
  <c r="P331" i="2"/>
  <c r="O70" i="2"/>
  <c r="L68" i="2"/>
  <c r="L70" i="1"/>
  <c r="O70" i="1" s="1"/>
  <c r="M18" i="2"/>
  <c r="P19" i="2"/>
  <c r="O32" i="3"/>
  <c r="L30" i="3"/>
  <c r="O30" i="3" s="1"/>
  <c r="O57" i="4"/>
  <c r="L22" i="4"/>
  <c r="L55" i="4"/>
  <c r="P312" i="4"/>
  <c r="M310" i="4"/>
  <c r="M312" i="1"/>
  <c r="M290" i="3"/>
  <c r="P290" i="3" s="1"/>
  <c r="P292" i="3"/>
  <c r="M292" i="1"/>
  <c r="O26" i="3"/>
  <c r="L16" i="3"/>
  <c r="O16" i="3" s="1"/>
  <c r="M9" i="2"/>
  <c r="P11" i="2"/>
  <c r="N12" i="2"/>
  <c r="N10" i="2" s="1"/>
  <c r="L22" i="2"/>
  <c r="M28" i="1"/>
  <c r="P28" i="1" s="1"/>
  <c r="O120" i="17"/>
  <c r="L118" i="17"/>
  <c r="O118" i="17" s="1"/>
  <c r="O120" i="16"/>
  <c r="L118" i="16"/>
  <c r="O118" i="16" s="1"/>
  <c r="N12" i="12"/>
  <c r="N10" i="12" s="1"/>
  <c r="N20" i="12"/>
  <c r="N18" i="12" s="1"/>
  <c r="O26" i="10"/>
  <c r="L16" i="10"/>
  <c r="O16" i="10" s="1"/>
  <c r="L30" i="6"/>
  <c r="O30" i="6" s="1"/>
  <c r="O32" i="6"/>
  <c r="O11" i="5"/>
  <c r="L9" i="5"/>
  <c r="O23" i="6"/>
  <c r="L13" i="6"/>
  <c r="O13" i="6" s="1"/>
  <c r="L30" i="7"/>
  <c r="O30" i="7" s="1"/>
  <c r="O32" i="7"/>
  <c r="P329" i="2"/>
  <c r="M329" i="5"/>
  <c r="P329" i="5" s="1"/>
  <c r="P331" i="5"/>
  <c r="P11" i="18"/>
  <c r="M9" i="18"/>
  <c r="N12" i="16"/>
  <c r="N10" i="16" s="1"/>
  <c r="N20" i="16"/>
  <c r="N18" i="16" s="1"/>
  <c r="P29" i="18"/>
  <c r="M28" i="18"/>
  <c r="P28" i="18" s="1"/>
  <c r="O19" i="16"/>
  <c r="M12" i="16"/>
  <c r="P22" i="16"/>
  <c r="O333" i="16"/>
  <c r="L331" i="16"/>
  <c r="O68" i="15"/>
  <c r="L16" i="14"/>
  <c r="O16" i="14" s="1"/>
  <c r="O26" i="14"/>
  <c r="P96" i="14"/>
  <c r="M94" i="14"/>
  <c r="P94" i="14" s="1"/>
  <c r="L13" i="13"/>
  <c r="O13" i="13" s="1"/>
  <c r="O23" i="13"/>
  <c r="O31" i="16"/>
  <c r="L29" i="16"/>
  <c r="L11" i="16"/>
  <c r="L271" i="13"/>
  <c r="O271" i="13" s="1"/>
  <c r="O331" i="14"/>
  <c r="L329" i="14"/>
  <c r="O329" i="14" s="1"/>
  <c r="O252" i="12"/>
  <c r="L250" i="12"/>
  <c r="O250" i="12" s="1"/>
  <c r="O24" i="11"/>
  <c r="L14" i="11"/>
  <c r="O14" i="11" s="1"/>
  <c r="O26" i="9"/>
  <c r="L16" i="9"/>
  <c r="O16" i="9" s="1"/>
  <c r="N11" i="11"/>
  <c r="N9" i="11" s="1"/>
  <c r="N29" i="11"/>
  <c r="N28" i="11" s="1"/>
  <c r="O23" i="11"/>
  <c r="L13" i="11"/>
  <c r="O13" i="11" s="1"/>
  <c r="O31" i="9"/>
  <c r="L11" i="9"/>
  <c r="L29" i="9"/>
  <c r="L250" i="11"/>
  <c r="O250" i="11" s="1"/>
  <c r="O144" i="11"/>
  <c r="L142" i="11"/>
  <c r="L144" i="1"/>
  <c r="O144" i="1" s="1"/>
  <c r="P55" i="10"/>
  <c r="M53" i="10"/>
  <c r="P53" i="10" s="1"/>
  <c r="P273" i="8"/>
  <c r="M271" i="8"/>
  <c r="P271" i="8" s="1"/>
  <c r="O41" i="8"/>
  <c r="L11" i="11"/>
  <c r="O24" i="9"/>
  <c r="L14" i="9"/>
  <c r="O14" i="9" s="1"/>
  <c r="O24" i="14"/>
  <c r="L14" i="14"/>
  <c r="O14" i="14" s="1"/>
  <c r="O19" i="10"/>
  <c r="O57" i="8"/>
  <c r="L22" i="8"/>
  <c r="L55" i="8"/>
  <c r="M68" i="7"/>
  <c r="O19" i="5"/>
  <c r="P43" i="12"/>
  <c r="L29" i="6"/>
  <c r="O31" i="6"/>
  <c r="L14" i="16"/>
  <c r="O14" i="16" s="1"/>
  <c r="P273" i="7"/>
  <c r="O19" i="7"/>
  <c r="O273" i="5"/>
  <c r="L271" i="5"/>
  <c r="O271" i="5" s="1"/>
  <c r="P252" i="4"/>
  <c r="M252" i="1"/>
  <c r="K650" i="1"/>
  <c r="O351" i="1"/>
  <c r="L31" i="1"/>
  <c r="L11" i="1" s="1"/>
  <c r="N12" i="8"/>
  <c r="N10" i="8" s="1"/>
  <c r="N8" i="8" s="1"/>
  <c r="N20" i="8"/>
  <c r="N18" i="8" s="1"/>
  <c r="O26" i="6"/>
  <c r="L16" i="6"/>
  <c r="O23" i="2"/>
  <c r="L13" i="2"/>
  <c r="O13" i="2" s="1"/>
  <c r="L254" i="1"/>
  <c r="O254" i="1" s="1"/>
  <c r="L23" i="1"/>
  <c r="O31" i="7"/>
  <c r="L29" i="7"/>
  <c r="O23" i="4"/>
  <c r="L13" i="4"/>
  <c r="O13" i="4" s="1"/>
  <c r="M250" i="7"/>
  <c r="P26" i="5"/>
  <c r="M16" i="5"/>
  <c r="P16" i="5" s="1"/>
  <c r="N273" i="1"/>
  <c r="P49" i="4"/>
  <c r="M26" i="4"/>
  <c r="M20" i="4" s="1"/>
  <c r="M49" i="1"/>
  <c r="M43" i="4"/>
  <c r="N331" i="1"/>
  <c r="N12" i="4"/>
  <c r="N10" i="4" s="1"/>
  <c r="L53" i="7" l="1"/>
  <c r="O53" i="7" s="1"/>
  <c r="O96" i="8"/>
  <c r="O120" i="15"/>
  <c r="L94" i="2"/>
  <c r="O43" i="9"/>
  <c r="L271" i="14"/>
  <c r="O271" i="14" s="1"/>
  <c r="L220" i="16"/>
  <c r="O220" i="16" s="1"/>
  <c r="O68" i="14"/>
  <c r="L94" i="5"/>
  <c r="O94" i="5" s="1"/>
  <c r="O68" i="5"/>
  <c r="N10" i="6"/>
  <c r="N8" i="6" s="1"/>
  <c r="L9" i="17"/>
  <c r="L66" i="9"/>
  <c r="O66" i="9" s="1"/>
  <c r="N310" i="1"/>
  <c r="P55" i="1"/>
  <c r="L310" i="10"/>
  <c r="O310" i="10" s="1"/>
  <c r="L329" i="9"/>
  <c r="O329" i="9" s="1"/>
  <c r="O43" i="3"/>
  <c r="O273" i="3"/>
  <c r="L290" i="9"/>
  <c r="O290" i="9" s="1"/>
  <c r="L220" i="15"/>
  <c r="O220" i="15" s="1"/>
  <c r="L290" i="6"/>
  <c r="O290" i="6" s="1"/>
  <c r="O331" i="8"/>
  <c r="O120" i="2"/>
  <c r="O11" i="2"/>
  <c r="L290" i="18"/>
  <c r="O290" i="18" s="1"/>
  <c r="L329" i="3"/>
  <c r="O329" i="3" s="1"/>
  <c r="L310" i="12"/>
  <c r="O310" i="12" s="1"/>
  <c r="O222" i="14"/>
  <c r="L310" i="15"/>
  <c r="O310" i="15" s="1"/>
  <c r="P18" i="2"/>
  <c r="O22" i="16"/>
  <c r="N220" i="1"/>
  <c r="O118" i="12"/>
  <c r="O66" i="12"/>
  <c r="L94" i="7"/>
  <c r="O94" i="7" s="1"/>
  <c r="L636" i="13"/>
  <c r="O636" i="13" s="1"/>
  <c r="L310" i="13"/>
  <c r="O310" i="13" s="1"/>
  <c r="L140" i="3"/>
  <c r="O140" i="3" s="1"/>
  <c r="P20" i="2"/>
  <c r="N118" i="1"/>
  <c r="L250" i="8"/>
  <c r="O250" i="8" s="1"/>
  <c r="L12" i="16"/>
  <c r="L10" i="16" s="1"/>
  <c r="O10" i="16" s="1"/>
  <c r="L220" i="10"/>
  <c r="O220" i="10" s="1"/>
  <c r="O43" i="15"/>
  <c r="N37" i="6"/>
  <c r="L41" i="6"/>
  <c r="O41" i="6" s="1"/>
  <c r="O43" i="4"/>
  <c r="L636" i="8"/>
  <c r="O636" i="8" s="1"/>
  <c r="L140" i="5"/>
  <c r="O140" i="5" s="1"/>
  <c r="L53" i="16"/>
  <c r="O53" i="16" s="1"/>
  <c r="O140" i="14"/>
  <c r="N8" i="9"/>
  <c r="O68" i="12"/>
  <c r="L290" i="8"/>
  <c r="O290" i="8" s="1"/>
  <c r="O271" i="6"/>
  <c r="O22" i="10"/>
  <c r="L310" i="8"/>
  <c r="O310" i="8" s="1"/>
  <c r="O140" i="12"/>
  <c r="O273" i="6"/>
  <c r="L140" i="2"/>
  <c r="O140" i="2" s="1"/>
  <c r="O28" i="17"/>
  <c r="O220" i="2"/>
  <c r="N37" i="7"/>
  <c r="L271" i="12"/>
  <c r="O271" i="12" s="1"/>
  <c r="L290" i="5"/>
  <c r="O290" i="5" s="1"/>
  <c r="P312" i="1"/>
  <c r="L94" i="3"/>
  <c r="O94" i="3" s="1"/>
  <c r="L94" i="6"/>
  <c r="O94" i="6" s="1"/>
  <c r="L290" i="11"/>
  <c r="O290" i="11" s="1"/>
  <c r="L250" i="5"/>
  <c r="O250" i="5" s="1"/>
  <c r="O312" i="2"/>
  <c r="L140" i="9"/>
  <c r="O140" i="9" s="1"/>
  <c r="O273" i="18"/>
  <c r="L220" i="4"/>
  <c r="O220" i="4" s="1"/>
  <c r="O53" i="15"/>
  <c r="O252" i="16"/>
  <c r="L250" i="4"/>
  <c r="O250" i="4" s="1"/>
  <c r="L140" i="17"/>
  <c r="O140" i="17" s="1"/>
  <c r="L66" i="8"/>
  <c r="O66" i="8" s="1"/>
  <c r="O331" i="2"/>
  <c r="L271" i="9"/>
  <c r="O271" i="9" s="1"/>
  <c r="P292" i="1"/>
  <c r="O638" i="17"/>
  <c r="L310" i="11"/>
  <c r="O310" i="11" s="1"/>
  <c r="O120" i="5"/>
  <c r="L12" i="10"/>
  <c r="O12" i="10" s="1"/>
  <c r="N37" i="2"/>
  <c r="O120" i="14"/>
  <c r="L9" i="3"/>
  <c r="O9" i="3" s="1"/>
  <c r="L310" i="16"/>
  <c r="O310" i="16" s="1"/>
  <c r="O273" i="2"/>
  <c r="L329" i="4"/>
  <c r="O329" i="4" s="1"/>
  <c r="O292" i="3"/>
  <c r="P66" i="3"/>
  <c r="P331" i="12"/>
  <c r="L41" i="13"/>
  <c r="O41" i="13" s="1"/>
  <c r="N8" i="17"/>
  <c r="L53" i="13"/>
  <c r="O53" i="13" s="1"/>
  <c r="L140" i="6"/>
  <c r="O140" i="6" s="1"/>
  <c r="O22" i="13"/>
  <c r="M16" i="14"/>
  <c r="P16" i="14" s="1"/>
  <c r="L310" i="4"/>
  <c r="O310" i="4" s="1"/>
  <c r="P26" i="14"/>
  <c r="L220" i="17"/>
  <c r="O220" i="17" s="1"/>
  <c r="L290" i="2"/>
  <c r="O290" i="2" s="1"/>
  <c r="L250" i="3"/>
  <c r="O250" i="3" s="1"/>
  <c r="N37" i="8"/>
  <c r="L20" i="13"/>
  <c r="O20" i="13" s="1"/>
  <c r="O96" i="10"/>
  <c r="L20" i="15"/>
  <c r="O20" i="15" s="1"/>
  <c r="L12" i="15"/>
  <c r="O12" i="15" s="1"/>
  <c r="O55" i="2"/>
  <c r="O41" i="17"/>
  <c r="L310" i="9"/>
  <c r="O310" i="9" s="1"/>
  <c r="L250" i="18"/>
  <c r="O250" i="18" s="1"/>
  <c r="N8" i="7"/>
  <c r="N37" i="17"/>
  <c r="N37" i="3"/>
  <c r="L329" i="6"/>
  <c r="O329" i="6" s="1"/>
  <c r="L41" i="7"/>
  <c r="O41" i="7" s="1"/>
  <c r="L290" i="13"/>
  <c r="O290" i="13" s="1"/>
  <c r="L94" i="13"/>
  <c r="O94" i="13" s="1"/>
  <c r="O96" i="17"/>
  <c r="L12" i="12"/>
  <c r="O12" i="12" s="1"/>
  <c r="L292" i="1"/>
  <c r="O292" i="1" s="1"/>
  <c r="L20" i="12"/>
  <c r="L18" i="12" s="1"/>
  <c r="O18" i="12" s="1"/>
  <c r="L310" i="6"/>
  <c r="O310" i="6" s="1"/>
  <c r="N8" i="13"/>
  <c r="L220" i="5"/>
  <c r="O220" i="5" s="1"/>
  <c r="O16" i="6"/>
  <c r="P26" i="3"/>
  <c r="O22" i="9"/>
  <c r="P220" i="2"/>
  <c r="L94" i="18"/>
  <c r="O94" i="18" s="1"/>
  <c r="L290" i="7"/>
  <c r="O290" i="7" s="1"/>
  <c r="L66" i="7"/>
  <c r="O66" i="7" s="1"/>
  <c r="L20" i="9"/>
  <c r="L18" i="9" s="1"/>
  <c r="O18" i="9" s="1"/>
  <c r="P41" i="17"/>
  <c r="P222" i="1"/>
  <c r="O140" i="7"/>
  <c r="P94" i="12"/>
  <c r="N8" i="5"/>
  <c r="P271" i="10"/>
  <c r="L250" i="10"/>
  <c r="O250" i="10" s="1"/>
  <c r="O142" i="8"/>
  <c r="L140" i="8"/>
  <c r="O140" i="8" s="1"/>
  <c r="L53" i="9"/>
  <c r="O53" i="9" s="1"/>
  <c r="P120" i="1"/>
  <c r="N37" i="10"/>
  <c r="N37" i="15"/>
  <c r="L140" i="4"/>
  <c r="O140" i="4" s="1"/>
  <c r="O292" i="14"/>
  <c r="N8" i="18"/>
  <c r="O43" i="10"/>
  <c r="M68" i="1"/>
  <c r="P68" i="1" s="1"/>
  <c r="M20" i="3"/>
  <c r="M18" i="3" s="1"/>
  <c r="P18" i="3" s="1"/>
  <c r="N271" i="1"/>
  <c r="N250" i="1"/>
  <c r="P142" i="1"/>
  <c r="L66" i="6"/>
  <c r="O66" i="6" s="1"/>
  <c r="L222" i="1"/>
  <c r="O222" i="1" s="1"/>
  <c r="L140" i="10"/>
  <c r="O140" i="10" s="1"/>
  <c r="L118" i="9"/>
  <c r="O118" i="9" s="1"/>
  <c r="N8" i="12"/>
  <c r="O222" i="11"/>
  <c r="L220" i="11"/>
  <c r="O220" i="11" s="1"/>
  <c r="O43" i="17"/>
  <c r="O66" i="15"/>
  <c r="O331" i="18"/>
  <c r="L329" i="18"/>
  <c r="O329" i="18" s="1"/>
  <c r="O29" i="17"/>
  <c r="L53" i="3"/>
  <c r="O53" i="3" s="1"/>
  <c r="N37" i="13"/>
  <c r="O57" i="1"/>
  <c r="L96" i="1"/>
  <c r="O96" i="1" s="1"/>
  <c r="P252" i="1"/>
  <c r="P66" i="12"/>
  <c r="O96" i="9"/>
  <c r="L329" i="5"/>
  <c r="O329" i="5" s="1"/>
  <c r="O55" i="18"/>
  <c r="L53" i="18"/>
  <c r="O53" i="18" s="1"/>
  <c r="L118" i="10"/>
  <c r="O118" i="10" s="1"/>
  <c r="O18" i="10"/>
  <c r="O222" i="7"/>
  <c r="L220" i="7"/>
  <c r="O220" i="7" s="1"/>
  <c r="L120" i="1"/>
  <c r="O120" i="1" s="1"/>
  <c r="O66" i="11"/>
  <c r="O252" i="9"/>
  <c r="L250" i="9"/>
  <c r="O250" i="9" s="1"/>
  <c r="P20" i="10"/>
  <c r="P20" i="16"/>
  <c r="N37" i="4"/>
  <c r="O120" i="13"/>
  <c r="L118" i="13"/>
  <c r="O118" i="13" s="1"/>
  <c r="N8" i="4"/>
  <c r="N140" i="1"/>
  <c r="L290" i="17"/>
  <c r="O290" i="17" s="1"/>
  <c r="N8" i="11"/>
  <c r="L20" i="6"/>
  <c r="O20" i="6" s="1"/>
  <c r="L331" i="1"/>
  <c r="O331" i="1" s="1"/>
  <c r="L28" i="15"/>
  <c r="O28" i="15" s="1"/>
  <c r="L12" i="6"/>
  <c r="L10" i="6" s="1"/>
  <c r="O10" i="6" s="1"/>
  <c r="L252" i="1"/>
  <c r="O252" i="1" s="1"/>
  <c r="O34" i="1"/>
  <c r="M94" i="6"/>
  <c r="P94" i="6" s="1"/>
  <c r="P96" i="6"/>
  <c r="P12" i="5"/>
  <c r="P16" i="6"/>
  <c r="O20" i="16"/>
  <c r="N37" i="14"/>
  <c r="P329" i="12"/>
  <c r="N8" i="16"/>
  <c r="M37" i="18"/>
  <c r="P26" i="6"/>
  <c r="L329" i="17"/>
  <c r="O329" i="17" s="1"/>
  <c r="O331" i="17"/>
  <c r="P12" i="8"/>
  <c r="L273" i="1"/>
  <c r="O273" i="1" s="1"/>
  <c r="M140" i="1"/>
  <c r="N37" i="12"/>
  <c r="N11" i="1"/>
  <c r="N9" i="1" s="1"/>
  <c r="M20" i="6"/>
  <c r="P20" i="6" s="1"/>
  <c r="N329" i="1"/>
  <c r="P18" i="5"/>
  <c r="L140" i="13"/>
  <c r="O140" i="13" s="1"/>
  <c r="O142" i="13"/>
  <c r="M37" i="15"/>
  <c r="O14" i="6"/>
  <c r="N37" i="18"/>
  <c r="L28" i="3"/>
  <c r="O28" i="3" s="1"/>
  <c r="L94" i="14"/>
  <c r="O94" i="14" s="1"/>
  <c r="O96" i="14"/>
  <c r="O273" i="7"/>
  <c r="N94" i="1"/>
  <c r="O94" i="12"/>
  <c r="P96" i="5"/>
  <c r="M94" i="5"/>
  <c r="P94" i="5" s="1"/>
  <c r="O222" i="6"/>
  <c r="L220" i="6"/>
  <c r="O220" i="6" s="1"/>
  <c r="P68" i="16"/>
  <c r="M66" i="16"/>
  <c r="P66" i="16" s="1"/>
  <c r="L14" i="1"/>
  <c r="O14" i="1" s="1"/>
  <c r="P41" i="13"/>
  <c r="P271" i="11"/>
  <c r="O66" i="18"/>
  <c r="O55" i="14"/>
  <c r="L53" i="14"/>
  <c r="O53" i="14" s="1"/>
  <c r="P12" i="2"/>
  <c r="N12" i="1"/>
  <c r="N10" i="1" s="1"/>
  <c r="L636" i="3"/>
  <c r="O636" i="3" s="1"/>
  <c r="O638" i="3"/>
  <c r="P26" i="16"/>
  <c r="M16" i="16"/>
  <c r="P16" i="16" s="1"/>
  <c r="O292" i="10"/>
  <c r="L290" i="10"/>
  <c r="O273" i="17"/>
  <c r="L271" i="17"/>
  <c r="O271" i="17" s="1"/>
  <c r="P329" i="13"/>
  <c r="O329" i="13"/>
  <c r="P20" i="17"/>
  <c r="M18" i="17"/>
  <c r="P18" i="17" s="1"/>
  <c r="O22" i="2"/>
  <c r="L12" i="2"/>
  <c r="L20" i="2"/>
  <c r="P41" i="5"/>
  <c r="O41" i="14"/>
  <c r="L16" i="1"/>
  <c r="O16" i="1" s="1"/>
  <c r="O26" i="1"/>
  <c r="P9" i="13"/>
  <c r="P20" i="9"/>
  <c r="M18" i="9"/>
  <c r="P18" i="9" s="1"/>
  <c r="P43" i="4"/>
  <c r="M41" i="4"/>
  <c r="O41" i="9"/>
  <c r="P20" i="13"/>
  <c r="M18" i="13"/>
  <c r="P18" i="13" s="1"/>
  <c r="O41" i="16"/>
  <c r="O312" i="14"/>
  <c r="L310" i="14"/>
  <c r="O310" i="14" s="1"/>
  <c r="P310" i="4"/>
  <c r="M310" i="1"/>
  <c r="O638" i="11"/>
  <c r="L636" i="11"/>
  <c r="O636" i="11" s="1"/>
  <c r="P9" i="17"/>
  <c r="O55" i="17"/>
  <c r="L53" i="17"/>
  <c r="P20" i="12"/>
  <c r="N20" i="1"/>
  <c r="N18" i="1" s="1"/>
  <c r="P49" i="1"/>
  <c r="M26" i="1"/>
  <c r="M20" i="1" s="1"/>
  <c r="P250" i="7"/>
  <c r="M250" i="1"/>
  <c r="L9" i="11"/>
  <c r="O11" i="11"/>
  <c r="O41" i="15"/>
  <c r="O271" i="2"/>
  <c r="M290" i="1"/>
  <c r="P290" i="1" s="1"/>
  <c r="O638" i="5"/>
  <c r="L636" i="5"/>
  <c r="O636" i="5" s="1"/>
  <c r="M10" i="5"/>
  <c r="P9" i="8"/>
  <c r="P20" i="11"/>
  <c r="O638" i="9"/>
  <c r="L636" i="9"/>
  <c r="O636" i="9" s="1"/>
  <c r="O22" i="14"/>
  <c r="L12" i="14"/>
  <c r="L20" i="14"/>
  <c r="M18" i="14"/>
  <c r="P18" i="14" s="1"/>
  <c r="P20" i="14"/>
  <c r="P20" i="15"/>
  <c r="M18" i="15"/>
  <c r="P18" i="15" s="1"/>
  <c r="O638" i="2"/>
  <c r="L636" i="2"/>
  <c r="O636" i="2" s="1"/>
  <c r="P12" i="9"/>
  <c r="M10" i="9"/>
  <c r="M37" i="14"/>
  <c r="P273" i="1"/>
  <c r="L638" i="1"/>
  <c r="O640" i="1"/>
  <c r="P10" i="2"/>
  <c r="O29" i="4"/>
  <c r="L28" i="4"/>
  <c r="O28" i="4" s="1"/>
  <c r="M10" i="10"/>
  <c r="P10" i="10" s="1"/>
  <c r="P12" i="10"/>
  <c r="O29" i="8"/>
  <c r="L28" i="8"/>
  <c r="O28" i="8" s="1"/>
  <c r="O29" i="10"/>
  <c r="L28" i="10"/>
  <c r="O28" i="10" s="1"/>
  <c r="P9" i="1"/>
  <c r="L20" i="17"/>
  <c r="O22" i="17"/>
  <c r="L12" i="17"/>
  <c r="P22" i="1"/>
  <c r="M12" i="1"/>
  <c r="O331" i="7"/>
  <c r="L329" i="7"/>
  <c r="P9" i="10"/>
  <c r="P12" i="12"/>
  <c r="M10" i="12"/>
  <c r="P10" i="12" s="1"/>
  <c r="P9" i="15"/>
  <c r="O29" i="18"/>
  <c r="L28" i="18"/>
  <c r="O28" i="18" s="1"/>
  <c r="M16" i="7"/>
  <c r="P26" i="7"/>
  <c r="M20" i="7"/>
  <c r="M37" i="8"/>
  <c r="P41" i="8"/>
  <c r="O9" i="6"/>
  <c r="O11" i="9"/>
  <c r="L9" i="9"/>
  <c r="P9" i="2"/>
  <c r="M8" i="2"/>
  <c r="O638" i="14"/>
  <c r="L636" i="14"/>
  <c r="O636" i="14" s="1"/>
  <c r="L43" i="1"/>
  <c r="L22" i="1"/>
  <c r="O45" i="1"/>
  <c r="P20" i="4"/>
  <c r="M18" i="4"/>
  <c r="P18" i="4" s="1"/>
  <c r="O638" i="7"/>
  <c r="L636" i="7"/>
  <c r="O636" i="7" s="1"/>
  <c r="L28" i="16"/>
  <c r="O28" i="16" s="1"/>
  <c r="O29" i="16"/>
  <c r="P12" i="13"/>
  <c r="M10" i="13"/>
  <c r="P10" i="13" s="1"/>
  <c r="M18" i="16"/>
  <c r="P18" i="16" s="1"/>
  <c r="P12" i="14"/>
  <c r="P118" i="2"/>
  <c r="M118" i="1"/>
  <c r="L28" i="12"/>
  <c r="O28" i="12" s="1"/>
  <c r="O29" i="12"/>
  <c r="P12" i="18"/>
  <c r="M10" i="18"/>
  <c r="P10" i="18" s="1"/>
  <c r="O312" i="3"/>
  <c r="L312" i="1"/>
  <c r="O312" i="1" s="1"/>
  <c r="L310" i="3"/>
  <c r="P26" i="4"/>
  <c r="M16" i="4"/>
  <c r="P16" i="4" s="1"/>
  <c r="O29" i="6"/>
  <c r="L28" i="6"/>
  <c r="O28" i="6" s="1"/>
  <c r="P68" i="7"/>
  <c r="M66" i="7"/>
  <c r="P66" i="7" s="1"/>
  <c r="O331" i="16"/>
  <c r="L329" i="16"/>
  <c r="O329" i="16" s="1"/>
  <c r="P12" i="16"/>
  <c r="O9" i="5"/>
  <c r="O68" i="2"/>
  <c r="L68" i="1"/>
  <c r="O68" i="1" s="1"/>
  <c r="L66" i="2"/>
  <c r="P220" i="3"/>
  <c r="M220" i="1"/>
  <c r="M10" i="6"/>
  <c r="P12" i="6"/>
  <c r="L53" i="11"/>
  <c r="O55" i="11"/>
  <c r="M10" i="11"/>
  <c r="P10" i="11" s="1"/>
  <c r="P12" i="11"/>
  <c r="M37" i="13"/>
  <c r="O252" i="14"/>
  <c r="L250" i="14"/>
  <c r="O250" i="14" s="1"/>
  <c r="N8" i="2"/>
  <c r="P20" i="5"/>
  <c r="O9" i="17"/>
  <c r="O142" i="15"/>
  <c r="L140" i="15"/>
  <c r="O140" i="15" s="1"/>
  <c r="P66" i="2"/>
  <c r="O22" i="3"/>
  <c r="L12" i="3"/>
  <c r="L20" i="3"/>
  <c r="O32" i="1"/>
  <c r="L30" i="1"/>
  <c r="O30" i="1" s="1"/>
  <c r="O638" i="4"/>
  <c r="L636" i="4"/>
  <c r="O636" i="4" s="1"/>
  <c r="L10" i="9"/>
  <c r="O10" i="9" s="1"/>
  <c r="O12" i="9"/>
  <c r="N8" i="15"/>
  <c r="O9" i="2"/>
  <c r="M43" i="1"/>
  <c r="M37" i="11"/>
  <c r="P41" i="11"/>
  <c r="O9" i="12"/>
  <c r="O29" i="14"/>
  <c r="L28" i="14"/>
  <c r="O28" i="14" s="1"/>
  <c r="O12" i="13"/>
  <c r="L10" i="13"/>
  <c r="O10" i="13" s="1"/>
  <c r="O11" i="16"/>
  <c r="L9" i="16"/>
  <c r="O22" i="4"/>
  <c r="L12" i="4"/>
  <c r="L20" i="4"/>
  <c r="P331" i="7"/>
  <c r="M329" i="7"/>
  <c r="P329" i="7" s="1"/>
  <c r="P18" i="11"/>
  <c r="L28" i="13"/>
  <c r="O28" i="13" s="1"/>
  <c r="O29" i="13"/>
  <c r="P20" i="18"/>
  <c r="M18" i="18"/>
  <c r="P18" i="18" s="1"/>
  <c r="O9" i="7"/>
  <c r="P9" i="12"/>
  <c r="O23" i="1"/>
  <c r="L13" i="1"/>
  <c r="O13" i="1" s="1"/>
  <c r="P12" i="15"/>
  <c r="M10" i="15"/>
  <c r="P10" i="15" s="1"/>
  <c r="P96" i="7"/>
  <c r="M94" i="7"/>
  <c r="P94" i="7" s="1"/>
  <c r="P12" i="17"/>
  <c r="M271" i="1"/>
  <c r="P271" i="3"/>
  <c r="P9" i="14"/>
  <c r="L636" i="15"/>
  <c r="O636" i="15" s="1"/>
  <c r="O638" i="15"/>
  <c r="O31" i="1"/>
  <c r="L29" i="1"/>
  <c r="L53" i="8"/>
  <c r="O55" i="8"/>
  <c r="O142" i="11"/>
  <c r="L140" i="11"/>
  <c r="O140" i="11" s="1"/>
  <c r="L18" i="16"/>
  <c r="O18" i="16" s="1"/>
  <c r="P9" i="18"/>
  <c r="O30" i="2"/>
  <c r="L28" i="2"/>
  <c r="O28" i="2" s="1"/>
  <c r="P9" i="4"/>
  <c r="O22" i="11"/>
  <c r="L12" i="11"/>
  <c r="L20" i="11"/>
  <c r="M18" i="12"/>
  <c r="P18" i="12" s="1"/>
  <c r="M96" i="1"/>
  <c r="P96" i="1" s="1"/>
  <c r="L9" i="4"/>
  <c r="O11" i="4"/>
  <c r="O19" i="1"/>
  <c r="O22" i="7"/>
  <c r="L12" i="7"/>
  <c r="L20" i="7"/>
  <c r="L142" i="1"/>
  <c r="O142" i="1" s="1"/>
  <c r="O638" i="6"/>
  <c r="L636" i="6"/>
  <c r="O636" i="6" s="1"/>
  <c r="M37" i="10"/>
  <c r="P41" i="10"/>
  <c r="L9" i="8"/>
  <c r="O11" i="8"/>
  <c r="O271" i="11"/>
  <c r="N37" i="11"/>
  <c r="P12" i="4"/>
  <c r="O638" i="10"/>
  <c r="L636" i="10"/>
  <c r="O636" i="10" s="1"/>
  <c r="P220" i="9"/>
  <c r="M37" i="9"/>
  <c r="P37" i="9" s="1"/>
  <c r="O20" i="10"/>
  <c r="P96" i="17"/>
  <c r="M94" i="17"/>
  <c r="P94" i="17" s="1"/>
  <c r="O43" i="5"/>
  <c r="L41" i="5"/>
  <c r="N8" i="10"/>
  <c r="N66" i="1"/>
  <c r="O55" i="5"/>
  <c r="L53" i="5"/>
  <c r="O53" i="5" s="1"/>
  <c r="M41" i="7"/>
  <c r="P43" i="7"/>
  <c r="O22" i="18"/>
  <c r="L12" i="18"/>
  <c r="L20" i="18"/>
  <c r="O11" i="18"/>
  <c r="L9" i="18"/>
  <c r="O11" i="14"/>
  <c r="L9" i="14"/>
  <c r="O94" i="2"/>
  <c r="O29" i="11"/>
  <c r="L28" i="11"/>
  <c r="O28" i="11" s="1"/>
  <c r="P94" i="3"/>
  <c r="P9" i="11"/>
  <c r="M37" i="3"/>
  <c r="O29" i="7"/>
  <c r="L28" i="7"/>
  <c r="O28" i="7" s="1"/>
  <c r="O22" i="8"/>
  <c r="L12" i="8"/>
  <c r="L20" i="8"/>
  <c r="O29" i="9"/>
  <c r="L28" i="9"/>
  <c r="O28" i="9" s="1"/>
  <c r="O55" i="4"/>
  <c r="L53" i="4"/>
  <c r="M331" i="1"/>
  <c r="P331" i="1" s="1"/>
  <c r="P41" i="6"/>
  <c r="O68" i="13"/>
  <c r="L66" i="13"/>
  <c r="O66" i="13" s="1"/>
  <c r="O68" i="17"/>
  <c r="L66" i="17"/>
  <c r="O66" i="17" s="1"/>
  <c r="L9" i="10"/>
  <c r="O11" i="10"/>
  <c r="N8" i="3"/>
  <c r="O11" i="1"/>
  <c r="L9" i="1"/>
  <c r="P12" i="3"/>
  <c r="M10" i="3"/>
  <c r="O638" i="18"/>
  <c r="L636" i="18"/>
  <c r="O636" i="18" s="1"/>
  <c r="O29" i="5"/>
  <c r="L28" i="5"/>
  <c r="O28" i="5" s="1"/>
  <c r="P26" i="8"/>
  <c r="M16" i="8"/>
  <c r="M20" i="8"/>
  <c r="O68" i="16"/>
  <c r="L66" i="16"/>
  <c r="O66" i="16" s="1"/>
  <c r="O638" i="16"/>
  <c r="L636" i="16"/>
  <c r="O636" i="16" s="1"/>
  <c r="M18" i="10"/>
  <c r="P18" i="10" s="1"/>
  <c r="O11" i="13"/>
  <c r="L9" i="13"/>
  <c r="P66" i="15"/>
  <c r="P26" i="17"/>
  <c r="M16" i="17"/>
  <c r="P16" i="17" s="1"/>
  <c r="O22" i="5"/>
  <c r="L12" i="5"/>
  <c r="L20" i="5"/>
  <c r="P12" i="7"/>
  <c r="M37" i="2"/>
  <c r="P41" i="2"/>
  <c r="M37" i="12"/>
  <c r="O43" i="18"/>
  <c r="L41" i="18"/>
  <c r="N28" i="1"/>
  <c r="O55" i="1"/>
  <c r="L53" i="1"/>
  <c r="O53" i="1" s="1"/>
  <c r="P37" i="13" l="1"/>
  <c r="L10" i="10"/>
  <c r="O10" i="10" s="1"/>
  <c r="P310" i="1"/>
  <c r="L37" i="12"/>
  <c r="O37" i="12" s="1"/>
  <c r="P220" i="1"/>
  <c r="P118" i="1"/>
  <c r="O12" i="16"/>
  <c r="L18" i="15"/>
  <c r="O18" i="15" s="1"/>
  <c r="P37" i="10"/>
  <c r="P37" i="3"/>
  <c r="P37" i="2"/>
  <c r="O20" i="12"/>
  <c r="O12" i="6"/>
  <c r="L10" i="12"/>
  <c r="O10" i="12" s="1"/>
  <c r="L18" i="13"/>
  <c r="O18" i="13" s="1"/>
  <c r="M10" i="14"/>
  <c r="P10" i="14" s="1"/>
  <c r="P37" i="14"/>
  <c r="L10" i="15"/>
  <c r="O10" i="15" s="1"/>
  <c r="P250" i="1"/>
  <c r="P37" i="15"/>
  <c r="L37" i="9"/>
  <c r="O37" i="9" s="1"/>
  <c r="P20" i="3"/>
  <c r="P37" i="8"/>
  <c r="L118" i="1"/>
  <c r="O118" i="1" s="1"/>
  <c r="P271" i="1"/>
  <c r="P37" i="12"/>
  <c r="L290" i="1"/>
  <c r="O290" i="1" s="1"/>
  <c r="P140" i="1"/>
  <c r="O20" i="9"/>
  <c r="M37" i="5"/>
  <c r="P37" i="5" s="1"/>
  <c r="N8" i="1"/>
  <c r="L37" i="7"/>
  <c r="O37" i="7" s="1"/>
  <c r="L94" i="1"/>
  <c r="O94" i="1" s="1"/>
  <c r="L37" i="6"/>
  <c r="O37" i="6" s="1"/>
  <c r="L220" i="1"/>
  <c r="O220" i="1" s="1"/>
  <c r="M18" i="6"/>
  <c r="P18" i="6" s="1"/>
  <c r="L18" i="6"/>
  <c r="O18" i="6" s="1"/>
  <c r="M10" i="16"/>
  <c r="M8" i="16" s="1"/>
  <c r="P8" i="16" s="1"/>
  <c r="M66" i="1"/>
  <c r="P66" i="1" s="1"/>
  <c r="P37" i="18"/>
  <c r="M37" i="6"/>
  <c r="P37" i="6" s="1"/>
  <c r="M37" i="16"/>
  <c r="P37" i="16" s="1"/>
  <c r="N37" i="1"/>
  <c r="M10" i="4"/>
  <c r="P10" i="4" s="1"/>
  <c r="M8" i="10"/>
  <c r="P8" i="10" s="1"/>
  <c r="L271" i="1"/>
  <c r="O271" i="1" s="1"/>
  <c r="M8" i="11"/>
  <c r="P8" i="11" s="1"/>
  <c r="M8" i="18"/>
  <c r="P8" i="18" s="1"/>
  <c r="M37" i="17"/>
  <c r="P37" i="17" s="1"/>
  <c r="L8" i="6"/>
  <c r="O8" i="6" s="1"/>
  <c r="O290" i="10"/>
  <c r="L37" i="10"/>
  <c r="O37" i="10" s="1"/>
  <c r="P20" i="1"/>
  <c r="M18" i="1"/>
  <c r="P18" i="1" s="1"/>
  <c r="O20" i="5"/>
  <c r="L18" i="5"/>
  <c r="O18" i="5" s="1"/>
  <c r="P10" i="3"/>
  <c r="M8" i="3"/>
  <c r="P8" i="3" s="1"/>
  <c r="P37" i="11"/>
  <c r="O66" i="2"/>
  <c r="L66" i="1"/>
  <c r="O66" i="1" s="1"/>
  <c r="L37" i="2"/>
  <c r="O37" i="2" s="1"/>
  <c r="P10" i="9"/>
  <c r="M8" i="9"/>
  <c r="P8" i="9" s="1"/>
  <c r="O20" i="14"/>
  <c r="L18" i="14"/>
  <c r="O18" i="14" s="1"/>
  <c r="L37" i="16"/>
  <c r="O37" i="16" s="1"/>
  <c r="M37" i="4"/>
  <c r="P37" i="4" s="1"/>
  <c r="P41" i="4"/>
  <c r="L140" i="1"/>
  <c r="O140" i="1" s="1"/>
  <c r="O9" i="1"/>
  <c r="L10" i="18"/>
  <c r="O10" i="18" s="1"/>
  <c r="O12" i="18"/>
  <c r="O9" i="8"/>
  <c r="O20" i="7"/>
  <c r="L18" i="7"/>
  <c r="O18" i="7" s="1"/>
  <c r="O12" i="11"/>
  <c r="L10" i="11"/>
  <c r="O10" i="11" s="1"/>
  <c r="O53" i="8"/>
  <c r="L37" i="8"/>
  <c r="O37" i="8" s="1"/>
  <c r="M8" i="12"/>
  <c r="P8" i="12" s="1"/>
  <c r="O12" i="4"/>
  <c r="L10" i="4"/>
  <c r="O10" i="4" s="1"/>
  <c r="P43" i="1"/>
  <c r="M41" i="1"/>
  <c r="O12" i="3"/>
  <c r="L10" i="3"/>
  <c r="O53" i="11"/>
  <c r="L37" i="11"/>
  <c r="O37" i="11" s="1"/>
  <c r="P8" i="2"/>
  <c r="P16" i="7"/>
  <c r="M10" i="7"/>
  <c r="P12" i="1"/>
  <c r="L10" i="14"/>
  <c r="O10" i="14" s="1"/>
  <c r="O12" i="14"/>
  <c r="O9" i="11"/>
  <c r="O20" i="2"/>
  <c r="L18" i="2"/>
  <c r="O18" i="2" s="1"/>
  <c r="O53" i="4"/>
  <c r="L37" i="4"/>
  <c r="O37" i="4" s="1"/>
  <c r="O9" i="10"/>
  <c r="M94" i="1"/>
  <c r="P94" i="1" s="1"/>
  <c r="P41" i="7"/>
  <c r="M37" i="7"/>
  <c r="P37" i="7" s="1"/>
  <c r="M10" i="17"/>
  <c r="O20" i="18"/>
  <c r="L18" i="18"/>
  <c r="O18" i="18" s="1"/>
  <c r="O20" i="11"/>
  <c r="L18" i="11"/>
  <c r="O18" i="11" s="1"/>
  <c r="O20" i="4"/>
  <c r="L18" i="4"/>
  <c r="O18" i="4" s="1"/>
  <c r="O20" i="3"/>
  <c r="L18" i="3"/>
  <c r="O18" i="3" s="1"/>
  <c r="L37" i="18"/>
  <c r="O37" i="18" s="1"/>
  <c r="O41" i="18"/>
  <c r="P20" i="8"/>
  <c r="M18" i="8"/>
  <c r="P18" i="8" s="1"/>
  <c r="O20" i="8"/>
  <c r="L18" i="8"/>
  <c r="O18" i="8" s="1"/>
  <c r="O9" i="14"/>
  <c r="L10" i="7"/>
  <c r="O12" i="7"/>
  <c r="L28" i="1"/>
  <c r="O28" i="1" s="1"/>
  <c r="O29" i="1"/>
  <c r="O638" i="1"/>
  <c r="L636" i="1"/>
  <c r="O636" i="1" s="1"/>
  <c r="L250" i="1"/>
  <c r="O250" i="1" s="1"/>
  <c r="O53" i="17"/>
  <c r="L37" i="17"/>
  <c r="O37" i="17" s="1"/>
  <c r="O12" i="2"/>
  <c r="L10" i="2"/>
  <c r="O9" i="4"/>
  <c r="L8" i="16"/>
  <c r="O8" i="16" s="1"/>
  <c r="O9" i="16"/>
  <c r="P10" i="6"/>
  <c r="M8" i="6"/>
  <c r="P8" i="6" s="1"/>
  <c r="L20" i="1"/>
  <c r="O22" i="1"/>
  <c r="L12" i="1"/>
  <c r="O9" i="9"/>
  <c r="L8" i="9"/>
  <c r="O8" i="9" s="1"/>
  <c r="O12" i="17"/>
  <c r="L10" i="17"/>
  <c r="O12" i="8"/>
  <c r="L10" i="8"/>
  <c r="O10" i="8" s="1"/>
  <c r="O310" i="3"/>
  <c r="L310" i="1"/>
  <c r="O310" i="1" s="1"/>
  <c r="L37" i="3"/>
  <c r="O37" i="3" s="1"/>
  <c r="O43" i="1"/>
  <c r="L41" i="1"/>
  <c r="O329" i="7"/>
  <c r="L329" i="1"/>
  <c r="O329" i="1" s="1"/>
  <c r="L37" i="13"/>
  <c r="O37" i="13" s="1"/>
  <c r="P10" i="5"/>
  <c r="M8" i="5"/>
  <c r="P8" i="5" s="1"/>
  <c r="L37" i="15"/>
  <c r="O37" i="15" s="1"/>
  <c r="P26" i="1"/>
  <c r="M16" i="1"/>
  <c r="P16" i="1" s="1"/>
  <c r="L37" i="14"/>
  <c r="O37" i="14" s="1"/>
  <c r="L8" i="13"/>
  <c r="O8" i="13" s="1"/>
  <c r="O9" i="13"/>
  <c r="P16" i="8"/>
  <c r="M10" i="8"/>
  <c r="L10" i="5"/>
  <c r="O12" i="5"/>
  <c r="O9" i="18"/>
  <c r="L37" i="5"/>
  <c r="O37" i="5" s="1"/>
  <c r="O41" i="5"/>
  <c r="M329" i="1"/>
  <c r="P329" i="1" s="1"/>
  <c r="P20" i="7"/>
  <c r="M18" i="7"/>
  <c r="P18" i="7" s="1"/>
  <c r="M8" i="15"/>
  <c r="P8" i="15" s="1"/>
  <c r="O20" i="17"/>
  <c r="L18" i="17"/>
  <c r="O18" i="17" s="1"/>
  <c r="M8" i="13"/>
  <c r="P8" i="13" s="1"/>
  <c r="L8" i="10" l="1"/>
  <c r="O8" i="10" s="1"/>
  <c r="M8" i="14"/>
  <c r="P8" i="14" s="1"/>
  <c r="M8" i="4"/>
  <c r="P8" i="4" s="1"/>
  <c r="L8" i="12"/>
  <c r="O8" i="12" s="1"/>
  <c r="L8" i="15"/>
  <c r="O8" i="15" s="1"/>
  <c r="P10" i="16"/>
  <c r="L8" i="18"/>
  <c r="O8" i="18" s="1"/>
  <c r="M10" i="1"/>
  <c r="P10" i="1" s="1"/>
  <c r="O10" i="2"/>
  <c r="L8" i="2"/>
  <c r="O8" i="2" s="1"/>
  <c r="O10" i="5"/>
  <c r="L8" i="5"/>
  <c r="O8" i="5" s="1"/>
  <c r="O10" i="3"/>
  <c r="L8" i="3"/>
  <c r="O8" i="3" s="1"/>
  <c r="O10" i="7"/>
  <c r="L8" i="7"/>
  <c r="O8" i="7" s="1"/>
  <c r="L8" i="11"/>
  <c r="O8" i="11" s="1"/>
  <c r="P10" i="7"/>
  <c r="M8" i="7"/>
  <c r="P8" i="7" s="1"/>
  <c r="O41" i="1"/>
  <c r="L37" i="1"/>
  <c r="O37" i="1" s="1"/>
  <c r="P41" i="1"/>
  <c r="M37" i="1"/>
  <c r="P37" i="1" s="1"/>
  <c r="L8" i="14"/>
  <c r="O8" i="14" s="1"/>
  <c r="P10" i="8"/>
  <c r="M8" i="8"/>
  <c r="P8" i="8" s="1"/>
  <c r="O12" i="1"/>
  <c r="L10" i="1"/>
  <c r="O10" i="17"/>
  <c r="L8" i="17"/>
  <c r="O8" i="17" s="1"/>
  <c r="O20" i="1"/>
  <c r="L18" i="1"/>
  <c r="O18" i="1" s="1"/>
  <c r="L8" i="4"/>
  <c r="O8" i="4" s="1"/>
  <c r="P10" i="17"/>
  <c r="M8" i="17"/>
  <c r="P8" i="17" s="1"/>
  <c r="L8" i="8"/>
  <c r="O8" i="8" s="1"/>
  <c r="M8" i="1" l="1"/>
  <c r="P8" i="1" s="1"/>
  <c r="O10" i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<sst xmlns="http://schemas.openxmlformats.org/spreadsheetml/2006/main" count="23688" uniqueCount="295">
  <si>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</si>
  <si>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</si>
  <si>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</si>
  <si>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</si>
  <si>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</si>
  <si>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</si>
  <si>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</si>
  <si>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</si>
  <si>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</si>
  <si>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</si>
  <si>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</si>
  <si>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</si>
  <si>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</si>
  <si>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</si>
  <si>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</si>
  <si>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</si>
  <si>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</si>
  <si>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</si>
  <si>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</si>
  <si>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</si>
  <si>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</si>
  <si>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</si>
  <si>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</si>
  <si>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</si>
  <si>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</si>
  <si>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</si>
  <si>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</si>
  <si>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</si>
  <si>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</si>
  <si>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</si>
  <si>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</si>
  <si>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</si>
  <si>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</si>
  <si>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</si>
  <si>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</si>
  <si>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</si>
  <si>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</si>
  <si>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</si>
  <si>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</si>
  <si>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</si>
  <si>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</si>
  <si>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</si>
  <si>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</si>
  <si>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</si>
  <si>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</si>
  <si>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</si>
  <si>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</si>
  <si>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</si>
  <si>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</si>
  <si>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</si>
  <si>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</si>
  <si>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</si>
  <si>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</si>
  <si>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</si>
  <si>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</si>
  <si>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</si>
  <si>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</si>
  <si>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</si>
  <si>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</si>
  <si>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</si>
  <si>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</si>
  <si>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</si>
  <si>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</si>
  <si>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</si>
  <si>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</si>
  <si>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</si>
  <si>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</si>
  <si>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</si>
  <si>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</si>
  <si>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</si>
  <si>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</si>
  <si>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</si>
  <si>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</si>
  <si>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</si>
  <si>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</si>
  <si>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</si>
  <si>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</si>
  <si>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</si>
  <si>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</si>
  <si>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</si>
  <si>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</si>
  <si>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</si>
  <si>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</si>
  <si>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</si>
  <si>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</si>
  <si>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</si>
  <si>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</si>
  <si>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</si>
  <si>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</si>
  <si>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</si>
  <si>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</si>
  <si>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</si>
  <si>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</si>
  <si>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</si>
  <si>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</si>
  <si>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</si>
  <si>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</si>
  <si>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</si>
  <si>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</si>
  <si>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</si>
  <si>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</si>
  <si>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</si>
  <si>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</si>
  <si>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</si>
  <si>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</si>
  <si>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</si>
  <si>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</si>
  <si>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</si>
  <si>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</si>
  <si>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</si>
  <si>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</si>
  <si>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</si>
  <si>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</si>
  <si>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</si>
  <si>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</si>
  <si>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</si>
  <si>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</si>
  <si>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</si>
  <si>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</si>
  <si>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</si>
  <si>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</si>
  <si>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</si>
  <si>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</si>
  <si>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</si>
  <si>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</si>
  <si>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</si>
  <si>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</si>
  <si>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</si>
  <si>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</si>
  <si>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</si>
  <si>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</si>
  <si>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</si>
  <si>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</si>
  <si>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</si>
  <si>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</si>
  <si>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</si>
  <si>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</si>
  <si>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</si>
  <si>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</si>
  <si>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</si>
  <si>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</si>
  <si>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</si>
  <si>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</si>
  <si>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</si>
  <si>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</si>
  <si>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</si>
  <si>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</si>
  <si>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</si>
  <si>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</si>
  <si>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</si>
  <si>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</si>
  <si>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</si>
  <si>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</si>
  <si>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</si>
  <si>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</si>
  <si>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</si>
  <si>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</si>
  <si>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</si>
  <si>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</si>
  <si>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</si>
  <si>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</si>
  <si>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</si>
  <si>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</si>
  <si>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</si>
  <si>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</si>
  <si>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</si>
  <si>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</si>
  <si>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</si>
  <si>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</si>
  <si>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</si>
  <si>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</si>
  <si>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</si>
  <si>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</si>
  <si>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</si>
  <si>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</si>
  <si>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</si>
  <si>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</si>
  <si>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</si>
  <si>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</si>
  <si>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</si>
  <si>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</si>
  <si>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</si>
  <si>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</si>
  <si>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</si>
  <si>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</si>
  <si>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</si>
  <si>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</si>
  <si>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</si>
  <si>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</si>
  <si>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</si>
  <si>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</si>
  <si>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</si>
  <si>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</si>
  <si>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</si>
  <si>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</si>
  <si>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</si>
  <si>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</si>
  <si>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</si>
  <si>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</si>
  <si>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</si>
  <si>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</si>
  <si>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</si>
  <si>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</si>
  <si>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</si>
  <si>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</si>
  <si>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</si>
  <si>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</si>
  <si>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</si>
  <si>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</si>
  <si>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</si>
  <si>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</si>
  <si>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</si>
  <si>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</si>
  <si>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</si>
  <si>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</si>
  <si>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</si>
  <si>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</si>
  <si>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</si>
  <si>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</si>
  <si>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</si>
  <si>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</si>
  <si>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</si>
  <si>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</si>
  <si>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</si>
  <si>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</si>
  <si>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</si>
  <si>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</si>
  <si>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</si>
  <si>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</si>
  <si>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</si>
  <si>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</si>
  <si>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</si>
  <si>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</si>
  <si>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</si>
  <si>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</si>
  <si>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</si>
  <si>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</si>
  <si>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</si>
  <si>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</si>
  <si>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</si>
  <si>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</si>
  <si>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</si>
  <si>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</si>
  <si>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</si>
  <si>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</si>
  <si>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</si>
  <si>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</si>
  <si>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</si>
  <si>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</si>
  <si>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</si>
  <si>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</si>
  <si>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</si>
  <si>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</si>
  <si>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</si>
  <si>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</si>
  <si>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</si>
  <si>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</si>
  <si>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</si>
  <si>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</si>
  <si>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</si>
  <si>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</si>
  <si>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</si>
  <si>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</si>
  <si>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</si>
  <si>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</si>
  <si>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</si>
  <si>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</si>
  <si>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</si>
  <si>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</si>
  <si>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</si>
  <si>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</si>
  <si>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</si>
  <si>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</si>
  <si>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</si>
  <si>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</si>
  <si>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</si>
  <si>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</si>
  <si>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</si>
  <si>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</si>
  <si>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</si>
  <si>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</si>
  <si>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</si>
  <si>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</si>
  <si>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</si>
  <si>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</si>
  <si>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</si>
  <si>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</si>
  <si>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</si>
  <si>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</si>
  <si>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</si>
  <si>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</si>
  <si>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</si>
  <si>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</si>
  <si>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</si>
  <si>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พฤษภาคม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</si>
</sst>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????_-;_-@"/>
    <numFmt numFmtId="169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 wrapText="1"/>
    </xf>
    <xf numFmtId="165" fontId="2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Alignment="1">
      <alignment vertical="center" wrapText="1"/>
    </xf>
    <xf numFmtId="165" fontId="1" fillId="4" borderId="12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 wrapText="1"/>
    </xf>
    <xf numFmtId="165" fontId="1" fillId="5" borderId="12" xfId="0" applyNumberFormat="1" applyFont="1" applyFill="1" applyBorder="1" applyAlignment="1">
      <alignment horizontal="center" vertical="center" wrapText="1"/>
    </xf>
    <xf numFmtId="165" fontId="1" fillId="7" borderId="12" xfId="0" applyNumberFormat="1" applyFont="1" applyFill="1" applyBorder="1" applyAlignment="1">
      <alignment horizontal="center" vertical="center" wrapText="1"/>
    </xf>
    <xf numFmtId="165" fontId="1" fillId="6" borderId="12" xfId="0" applyNumberFormat="1" applyFont="1" applyFill="1" applyBorder="1" applyAlignment="1">
      <alignment horizontal="center" vertical="center"/>
    </xf>
    <xf numFmtId="165" fontId="1" fillId="5" borderId="12" xfId="0" applyNumberFormat="1" applyFont="1" applyFill="1" applyBorder="1" applyAlignment="1">
      <alignment horizontal="center" vertical="center"/>
    </xf>
    <xf numFmtId="165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66" fontId="1" fillId="8" borderId="12" xfId="0" applyNumberFormat="1" applyFont="1" applyFill="1" applyBorder="1" applyAlignment="1"/>
    <xf numFmtId="165" fontId="1" fillId="8" borderId="12" xfId="0" applyNumberFormat="1" applyFont="1" applyFill="1" applyBorder="1" applyAlignment="1"/>
    <xf numFmtId="165" fontId="1" fillId="8" borderId="12" xfId="0" applyNumberFormat="1" applyFont="1" applyFill="1" applyBorder="1" applyAlignment="1">
      <alignment horizontal="center"/>
    </xf>
    <xf numFmtId="165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66" fontId="1" fillId="9" borderId="16" xfId="0" applyNumberFormat="1" applyFont="1" applyFill="1" applyBorder="1" applyAlignment="1">
      <alignment horizontal="right"/>
    </xf>
    <xf numFmtId="165" fontId="1" fillId="9" borderId="16" xfId="0" applyNumberFormat="1" applyFont="1" applyFill="1" applyBorder="1" applyAlignment="1">
      <alignment horizontal="right"/>
    </xf>
    <xf numFmtId="165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66" fontId="1" fillId="9" borderId="20" xfId="0" applyNumberFormat="1" applyFont="1" applyFill="1" applyBorder="1" applyAlignment="1">
      <alignment horizontal="right"/>
    </xf>
    <xf numFmtId="165" fontId="1" fillId="9" borderId="20" xfId="0" applyNumberFormat="1" applyFont="1" applyFill="1" applyBorder="1" applyAlignment="1">
      <alignment horizontal="right"/>
    </xf>
    <xf numFmtId="165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66" fontId="2" fillId="2" borderId="20" xfId="0" applyNumberFormat="1" applyFont="1" applyFill="1" applyBorder="1" applyAlignment="1">
      <alignment horizontal="right"/>
    </xf>
    <xf numFmtId="165" fontId="2" fillId="2" borderId="20" xfId="0" applyNumberFormat="1" applyFont="1" applyFill="1" applyBorder="1" applyAlignment="1">
      <alignment horizontal="right"/>
    </xf>
    <xf numFmtId="165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65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66" fontId="2" fillId="2" borderId="23" xfId="0" applyNumberFormat="1" applyFont="1" applyFill="1" applyBorder="1" applyAlignment="1">
      <alignment horizontal="right"/>
    </xf>
    <xf numFmtId="165" fontId="2" fillId="2" borderId="23" xfId="0" applyNumberFormat="1" applyFont="1" applyFill="1" applyBorder="1" applyAlignment="1">
      <alignment horizontal="right"/>
    </xf>
    <xf numFmtId="165" fontId="2" fillId="2" borderId="23" xfId="0" applyNumberFormat="1" applyFont="1" applyFill="1" applyBorder="1" applyAlignment="1"/>
    <xf numFmtId="165" fontId="2" fillId="2" borderId="20" xfId="0" applyNumberFormat="1" applyFont="1" applyFill="1" applyBorder="1" applyAlignment="1"/>
    <xf numFmtId="165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66" fontId="1" fillId="10" borderId="12" xfId="0" applyNumberFormat="1" applyFont="1" applyFill="1" applyBorder="1" applyAlignment="1">
      <alignment vertical="center"/>
    </xf>
    <xf numFmtId="165" fontId="1" fillId="10" borderId="12" xfId="0" applyNumberFormat="1" applyFont="1" applyFill="1" applyBorder="1" applyAlignment="1">
      <alignment vertical="center"/>
    </xf>
    <xf numFmtId="165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66" fontId="2" fillId="11" borderId="12" xfId="0" applyNumberFormat="1" applyFont="1" applyFill="1" applyBorder="1" applyAlignment="1">
      <alignment horizontal="left"/>
    </xf>
    <xf numFmtId="165" fontId="2" fillId="11" borderId="12" xfId="0" applyNumberFormat="1" applyFont="1" applyFill="1" applyBorder="1" applyAlignment="1">
      <alignment horizontal="left"/>
    </xf>
    <xf numFmtId="165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66" fontId="1" fillId="12" borderId="16" xfId="0" applyNumberFormat="1" applyFont="1" applyFill="1" applyBorder="1" applyAlignment="1">
      <alignment horizontal="right"/>
    </xf>
    <xf numFmtId="165" fontId="1" fillId="12" borderId="16" xfId="0" applyNumberFormat="1" applyFont="1" applyFill="1" applyBorder="1" applyAlignment="1">
      <alignment horizontal="right"/>
    </xf>
    <xf numFmtId="165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66" fontId="1" fillId="13" borderId="20" xfId="0" applyNumberFormat="1" applyFont="1" applyFill="1" applyBorder="1" applyAlignment="1">
      <alignment horizontal="right"/>
    </xf>
    <xf numFmtId="165" fontId="1" fillId="13" borderId="20" xfId="0" applyNumberFormat="1" applyFont="1" applyFill="1" applyBorder="1" applyAlignment="1">
      <alignment horizontal="right"/>
    </xf>
    <xf numFmtId="165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66" fontId="1" fillId="14" borderId="20" xfId="0" applyNumberFormat="1" applyFont="1" applyFill="1" applyBorder="1" applyAlignment="1">
      <alignment horizontal="right"/>
    </xf>
    <xf numFmtId="165" fontId="1" fillId="14" borderId="20" xfId="0" applyNumberFormat="1" applyFont="1" applyFill="1" applyBorder="1" applyAlignment="1">
      <alignment horizontal="right"/>
    </xf>
    <xf numFmtId="165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66" fontId="2" fillId="0" borderId="20" xfId="0" applyNumberFormat="1" applyFont="1" applyBorder="1" applyAlignment="1">
      <alignment horizontal="right"/>
    </xf>
    <xf numFmtId="165" fontId="2" fillId="0" borderId="20" xfId="0" applyNumberFormat="1" applyFont="1" applyBorder="1" applyAlignment="1">
      <alignment horizontal="right"/>
    </xf>
    <xf numFmtId="165" fontId="1" fillId="2" borderId="20" xfId="0" applyNumberFormat="1" applyFont="1" applyFill="1" applyBorder="1" applyAlignment="1">
      <alignment horizontal="left"/>
    </xf>
    <xf numFmtId="165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66" fontId="2" fillId="0" borderId="23" xfId="0" applyNumberFormat="1" applyFont="1" applyBorder="1" applyAlignment="1">
      <alignment horizontal="right"/>
    </xf>
    <xf numFmtId="165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66" fontId="1" fillId="16" borderId="12" xfId="0" applyNumberFormat="1" applyFont="1" applyFill="1" applyBorder="1" applyAlignment="1">
      <alignment horizontal="right"/>
    </xf>
    <xf numFmtId="165" fontId="1" fillId="16" borderId="12" xfId="0" applyNumberFormat="1" applyFont="1" applyFill="1" applyBorder="1" applyAlignment="1">
      <alignment horizontal="right"/>
    </xf>
    <xf numFmtId="165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66" fontId="1" fillId="17" borderId="16" xfId="0" applyNumberFormat="1" applyFont="1" applyFill="1" applyBorder="1" applyAlignment="1">
      <alignment horizontal="right"/>
    </xf>
    <xf numFmtId="165" fontId="1" fillId="17" borderId="16" xfId="0" applyNumberFormat="1" applyFont="1" applyFill="1" applyBorder="1" applyAlignment="1">
      <alignment horizontal="right"/>
    </xf>
    <xf numFmtId="165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66" fontId="1" fillId="18" borderId="20" xfId="0" applyNumberFormat="1" applyFont="1" applyFill="1" applyBorder="1" applyAlignment="1">
      <alignment horizontal="right"/>
    </xf>
    <xf numFmtId="165" fontId="1" fillId="18" borderId="20" xfId="0" applyNumberFormat="1" applyFont="1" applyFill="1" applyBorder="1" applyAlignment="1">
      <alignment horizontal="right"/>
    </xf>
    <xf numFmtId="165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66" fontId="1" fillId="19" borderId="20" xfId="0" applyNumberFormat="1" applyFont="1" applyFill="1" applyBorder="1" applyAlignment="1">
      <alignment horizontal="right"/>
    </xf>
    <xf numFmtId="165" fontId="1" fillId="19" borderId="20" xfId="0" applyNumberFormat="1" applyFont="1" applyFill="1" applyBorder="1" applyAlignment="1">
      <alignment horizontal="right"/>
    </xf>
    <xf numFmtId="165" fontId="1" fillId="19" borderId="20" xfId="0" applyNumberFormat="1" applyFont="1" applyFill="1" applyBorder="1" applyAlignment="1"/>
    <xf numFmtId="164" fontId="1" fillId="20" borderId="24" xfId="0" applyNumberFormat="1" applyFont="1" applyFill="1" applyBorder="1" applyAlignment="1">
      <alignment vertical="center"/>
    </xf>
    <xf numFmtId="164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66" fontId="2" fillId="20" borderId="27" xfId="0" applyNumberFormat="1" applyFont="1" applyFill="1" applyBorder="1" applyAlignment="1">
      <alignment horizontal="left" vertical="center"/>
    </xf>
    <xf numFmtId="165" fontId="2" fillId="20" borderId="27" xfId="0" applyNumberFormat="1" applyFont="1" applyFill="1" applyBorder="1" applyAlignment="1">
      <alignment horizontal="left" vertical="center"/>
    </xf>
    <xf numFmtId="165" fontId="2" fillId="20" borderId="27" xfId="0" applyNumberFormat="1" applyFont="1" applyFill="1" applyBorder="1" applyAlignment="1">
      <alignment vertical="center"/>
    </xf>
    <xf numFmtId="164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64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66" fontId="1" fillId="21" borderId="28" xfId="0" applyNumberFormat="1" applyFont="1" applyFill="1" applyBorder="1" applyAlignment="1">
      <alignment horizontal="left" vertical="center"/>
    </xf>
    <xf numFmtId="165" fontId="1" fillId="21" borderId="28" xfId="0" applyNumberFormat="1" applyFont="1" applyFill="1" applyBorder="1" applyAlignment="1">
      <alignment horizontal="left" vertical="center"/>
    </xf>
    <xf numFmtId="165" fontId="1" fillId="21" borderId="28" xfId="0" applyNumberFormat="1" applyFont="1" applyFill="1" applyBorder="1" applyAlignment="1">
      <alignment horizontal="center" vertical="center"/>
    </xf>
    <xf numFmtId="165" fontId="2" fillId="21" borderId="28" xfId="0" applyNumberFormat="1" applyFont="1" applyFill="1" applyBorder="1" applyAlignment="1">
      <alignment vertical="center"/>
    </xf>
    <xf numFmtId="167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64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66" fontId="1" fillId="9" borderId="19" xfId="0" applyNumberFormat="1" applyFont="1" applyFill="1" applyBorder="1" applyAlignment="1">
      <alignment horizontal="right" vertical="center" wrapText="1"/>
    </xf>
    <xf numFmtId="165" fontId="1" fillId="9" borderId="19" xfId="0" applyNumberFormat="1" applyFont="1" applyFill="1" applyBorder="1" applyAlignment="1">
      <alignment horizontal="right" vertical="center" wrapText="1"/>
    </xf>
    <xf numFmtId="165" fontId="1" fillId="9" borderId="19" xfId="0" applyNumberFormat="1" applyFont="1" applyFill="1" applyBorder="1" applyAlignment="1">
      <alignment vertical="center"/>
    </xf>
    <xf numFmtId="165" fontId="1" fillId="9" borderId="19" xfId="0" applyNumberFormat="1" applyFont="1" applyFill="1" applyBorder="1" applyAlignment="1">
      <alignment vertical="center"/>
    </xf>
    <xf numFmtId="167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64" fontId="1" fillId="2" borderId="15" xfId="0" applyNumberFormat="1" applyFont="1" applyFill="1" applyBorder="1" applyAlignment="1">
      <alignment horizontal="center"/>
    </xf>
    <xf numFmtId="166" fontId="1" fillId="2" borderId="16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/>
    <xf numFmtId="167" fontId="1" fillId="2" borderId="17" xfId="0" applyNumberFormat="1" applyFont="1" applyFill="1" applyBorder="1" applyAlignment="1"/>
    <xf numFmtId="164" fontId="1" fillId="2" borderId="19" xfId="0" applyNumberFormat="1" applyFont="1" applyFill="1" applyBorder="1" applyAlignment="1">
      <alignment horizontal="center"/>
    </xf>
    <xf numFmtId="166" fontId="1" fillId="2" borderId="20" xfId="0" applyNumberFormat="1" applyFont="1" applyFill="1" applyBorder="1" applyAlignment="1">
      <alignment horizontal="right"/>
    </xf>
    <xf numFmtId="165" fontId="1" fillId="2" borderId="20" xfId="0" applyNumberFormat="1" applyFont="1" applyFill="1" applyBorder="1" applyAlignment="1">
      <alignment horizontal="right"/>
    </xf>
    <xf numFmtId="167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64" fontId="2" fillId="0" borderId="19" xfId="0" applyNumberFormat="1" applyFont="1" applyBorder="1" applyAlignment="1">
      <alignment horizontal="center" vertical="center" wrapText="1"/>
    </xf>
    <xf numFmtId="166" fontId="2" fillId="0" borderId="19" xfId="0" applyNumberFormat="1" applyFont="1" applyBorder="1" applyAlignment="1">
      <alignment horizontal="right" vertical="center" wrapText="1"/>
    </xf>
    <xf numFmtId="165" fontId="2" fillId="0" borderId="19" xfId="0" applyNumberFormat="1" applyFont="1" applyBorder="1" applyAlignment="1">
      <alignment horizontal="right" vertical="center" wrapText="1"/>
    </xf>
    <xf numFmtId="165" fontId="1" fillId="2" borderId="19" xfId="0" applyNumberFormat="1" applyFont="1" applyFill="1" applyBorder="1" applyAlignment="1">
      <alignment vertical="center"/>
    </xf>
    <xf numFmtId="165" fontId="1" fillId="2" borderId="19" xfId="0" applyNumberFormat="1" applyFont="1" applyFill="1" applyBorder="1" applyAlignment="1">
      <alignment vertical="center"/>
    </xf>
    <xf numFmtId="164" fontId="1" fillId="2" borderId="30" xfId="0" applyNumberFormat="1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67" fontId="1" fillId="15" borderId="17" xfId="0" applyNumberFormat="1" applyFont="1" applyFill="1" applyBorder="1" applyAlignment="1"/>
    <xf numFmtId="164" fontId="2" fillId="0" borderId="20" xfId="0" applyNumberFormat="1" applyFont="1" applyBorder="1" applyAlignment="1">
      <alignment horizontal="center"/>
    </xf>
    <xf numFmtId="167" fontId="1" fillId="15" borderId="21" xfId="0" applyNumberFormat="1" applyFont="1" applyFill="1" applyBorder="1" applyAlignment="1"/>
    <xf numFmtId="164" fontId="1" fillId="15" borderId="22" xfId="0" applyNumberFormat="1" applyFont="1" applyFill="1" applyBorder="1" applyAlignment="1"/>
    <xf numFmtId="164" fontId="2" fillId="0" borderId="23" xfId="0" applyNumberFormat="1" applyFont="1" applyBorder="1" applyAlignment="1">
      <alignment horizontal="center"/>
    </xf>
    <xf numFmtId="164" fontId="1" fillId="0" borderId="17" xfId="0" applyNumberFormat="1" applyFont="1" applyBorder="1" applyAlignment="1">
      <alignment vertical="center"/>
    </xf>
    <xf numFmtId="164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65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66" fontId="2" fillId="2" borderId="19" xfId="0" applyNumberFormat="1" applyFont="1" applyFill="1" applyBorder="1" applyAlignment="1">
      <alignment horizontal="right" vertical="center" wrapText="1"/>
    </xf>
    <xf numFmtId="166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64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66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66" fontId="1" fillId="2" borderId="19" xfId="0" applyNumberFormat="1" applyFont="1" applyFill="1" applyBorder="1" applyAlignment="1">
      <alignment horizontal="right" vertical="center" wrapText="1"/>
    </xf>
    <xf numFmtId="165" fontId="1" fillId="0" borderId="19" xfId="0" applyNumberFormat="1" applyFont="1" applyBorder="1" applyAlignment="1">
      <alignment horizontal="right" vertical="center" wrapText="1"/>
    </xf>
    <xf numFmtId="166" fontId="2" fillId="0" borderId="19" xfId="0" applyNumberFormat="1" applyFont="1" applyBorder="1" applyAlignment="1">
      <alignment horizontal="right" vertical="center" wrapText="1"/>
    </xf>
    <xf numFmtId="166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66" fontId="2" fillId="4" borderId="30" xfId="0" applyNumberFormat="1" applyFont="1" applyFill="1" applyBorder="1" applyAlignment="1">
      <alignment horizontal="right" vertical="center"/>
    </xf>
    <xf numFmtId="164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64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66" fontId="2" fillId="21" borderId="19" xfId="0" applyNumberFormat="1" applyFont="1" applyFill="1" applyBorder="1" applyAlignment="1">
      <alignment horizontal="right" vertical="center" wrapText="1"/>
    </xf>
    <xf numFmtId="165" fontId="2" fillId="21" borderId="19" xfId="0" applyNumberFormat="1" applyFont="1" applyFill="1" applyBorder="1" applyAlignment="1">
      <alignment horizontal="right" vertical="center" wrapText="1"/>
    </xf>
    <xf numFmtId="165" fontId="2" fillId="21" borderId="19" xfId="0" applyNumberFormat="1" applyFont="1" applyFill="1" applyBorder="1" applyAlignment="1">
      <alignment vertical="center" wrapText="1"/>
    </xf>
    <xf numFmtId="165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65" fontId="1" fillId="9" borderId="19" xfId="0" applyNumberFormat="1" applyFont="1" applyFill="1" applyBorder="1" applyAlignment="1">
      <alignment vertical="center" wrapText="1"/>
    </xf>
    <xf numFmtId="165" fontId="1" fillId="9" borderId="19" xfId="0" applyNumberFormat="1" applyFont="1" applyFill="1" applyBorder="1" applyAlignment="1">
      <alignment vertical="center" wrapText="1"/>
    </xf>
    <xf numFmtId="165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66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67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67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64" fontId="1" fillId="0" borderId="21" xfId="0" applyNumberFormat="1" applyFont="1" applyBorder="1" applyAlignment="1">
      <alignment vertical="center"/>
    </xf>
    <xf numFmtId="164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66" fontId="2" fillId="2" borderId="34" xfId="0" applyNumberFormat="1" applyFont="1" applyFill="1" applyBorder="1" applyAlignment="1">
      <alignment horizontal="right" vertical="center" wrapText="1"/>
    </xf>
    <xf numFmtId="166" fontId="2" fillId="2" borderId="32" xfId="0" applyNumberFormat="1" applyFont="1" applyFill="1" applyBorder="1" applyAlignment="1">
      <alignment horizontal="right" vertical="center"/>
    </xf>
    <xf numFmtId="165" fontId="2" fillId="2" borderId="34" xfId="0" applyNumberFormat="1" applyFont="1" applyFill="1" applyBorder="1" applyAlignment="1">
      <alignment horizontal="right" vertical="center" wrapText="1"/>
    </xf>
    <xf numFmtId="165" fontId="2" fillId="2" borderId="34" xfId="0" applyNumberFormat="1" applyFont="1" applyFill="1" applyBorder="1" applyAlignment="1">
      <alignment vertical="center"/>
    </xf>
    <xf numFmtId="165" fontId="2" fillId="0" borderId="34" xfId="0" applyNumberFormat="1" applyFont="1" applyBorder="1" applyAlignment="1">
      <alignment vertical="center"/>
    </xf>
    <xf numFmtId="164" fontId="1" fillId="7" borderId="35" xfId="0" applyNumberFormat="1" applyFont="1" applyFill="1" applyBorder="1" applyAlignment="1">
      <alignment vertical="center"/>
    </xf>
    <xf numFmtId="164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66" fontId="2" fillId="7" borderId="38" xfId="0" applyNumberFormat="1" applyFont="1" applyFill="1" applyBorder="1" applyAlignment="1">
      <alignment horizontal="left" vertical="center"/>
    </xf>
    <xf numFmtId="165" fontId="2" fillId="7" borderId="38" xfId="0" applyNumberFormat="1" applyFont="1" applyFill="1" applyBorder="1" applyAlignment="1">
      <alignment horizontal="left" vertical="center"/>
    </xf>
    <xf numFmtId="165" fontId="2" fillId="7" borderId="38" xfId="0" applyNumberFormat="1" applyFont="1" applyFill="1" applyBorder="1" applyAlignment="1">
      <alignment vertical="center"/>
    </xf>
    <xf numFmtId="164" fontId="1" fillId="24" borderId="29" xfId="0" applyNumberFormat="1" applyFont="1" applyFill="1" applyBorder="1" applyAlignment="1">
      <alignment vertical="center"/>
    </xf>
    <xf numFmtId="164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66" fontId="1" fillId="24" borderId="19" xfId="0" applyNumberFormat="1" applyFont="1" applyFill="1" applyBorder="1" applyAlignment="1">
      <alignment horizontal="center" vertical="center"/>
    </xf>
    <xf numFmtId="165" fontId="1" fillId="24" borderId="19" xfId="0" applyNumberFormat="1" applyFont="1" applyFill="1" applyBorder="1" applyAlignment="1">
      <alignment horizontal="center" vertical="center"/>
    </xf>
    <xf numFmtId="165" fontId="2" fillId="24" borderId="19" xfId="0" applyNumberFormat="1" applyFont="1" applyFill="1" applyBorder="1" applyAlignment="1">
      <alignment horizontal="right" vertical="center" wrapText="1"/>
    </xf>
    <xf numFmtId="164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64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66" fontId="1" fillId="22" borderId="19" xfId="0" applyNumberFormat="1" applyFont="1" applyFill="1" applyBorder="1" applyAlignment="1">
      <alignment horizontal="right" vertical="center" wrapText="1"/>
    </xf>
    <xf numFmtId="165" fontId="1" fillId="22" borderId="19" xfId="0" applyNumberFormat="1" applyFont="1" applyFill="1" applyBorder="1" applyAlignment="1">
      <alignment horizontal="right" vertical="center" wrapText="1"/>
    </xf>
    <xf numFmtId="165" fontId="1" fillId="22" borderId="19" xfId="0" applyNumberFormat="1" applyFont="1" applyFill="1" applyBorder="1" applyAlignment="1">
      <alignment vertical="center"/>
    </xf>
    <xf numFmtId="164" fontId="1" fillId="25" borderId="29" xfId="0" applyNumberFormat="1" applyFont="1" applyFill="1" applyBorder="1" applyAlignment="1">
      <alignment vertical="center"/>
    </xf>
    <xf numFmtId="164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66" fontId="2" fillId="25" borderId="19" xfId="0" applyNumberFormat="1" applyFont="1" applyFill="1" applyBorder="1" applyAlignment="1">
      <alignment horizontal="right" vertical="center" wrapText="1"/>
    </xf>
    <xf numFmtId="165" fontId="2" fillId="25" borderId="19" xfId="0" applyNumberFormat="1" applyFont="1" applyFill="1" applyBorder="1" applyAlignment="1">
      <alignment horizontal="right" vertical="center" wrapText="1"/>
    </xf>
    <xf numFmtId="165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66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66" fontId="1" fillId="25" borderId="19" xfId="0" applyNumberFormat="1" applyFont="1" applyFill="1" applyBorder="1" applyAlignment="1">
      <alignment horizontal="right" vertical="center" wrapText="1"/>
    </xf>
    <xf numFmtId="165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66" fontId="2" fillId="4" borderId="32" xfId="0" applyNumberFormat="1" applyFont="1" applyFill="1" applyBorder="1" applyAlignment="1">
      <alignment horizontal="right" vertical="center"/>
    </xf>
    <xf numFmtId="165" fontId="2" fillId="0" borderId="34" xfId="0" applyNumberFormat="1" applyFont="1" applyBorder="1" applyAlignment="1">
      <alignment horizontal="right" vertical="center" wrapText="1"/>
    </xf>
    <xf numFmtId="164" fontId="1" fillId="25" borderId="30" xfId="0" applyNumberFormat="1" applyFont="1" applyFill="1" applyBorder="1" applyAlignment="1">
      <alignment horizontal="left" vertical="center"/>
    </xf>
    <xf numFmtId="165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65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64" fontId="1" fillId="22" borderId="30" xfId="0" applyNumberFormat="1" applyFont="1" applyFill="1" applyBorder="1" applyAlignment="1">
      <alignment horizontal="left" vertical="center"/>
    </xf>
    <xf numFmtId="164" fontId="1" fillId="26" borderId="35" xfId="0" applyNumberFormat="1" applyFont="1" applyFill="1" applyBorder="1" applyAlignment="1">
      <alignment vertical="center"/>
    </xf>
    <xf numFmtId="164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66" fontId="1" fillId="26" borderId="38" xfId="0" applyNumberFormat="1" applyFont="1" applyFill="1" applyBorder="1" applyAlignment="1">
      <alignment horizontal="left" vertical="center"/>
    </xf>
    <xf numFmtId="165" fontId="1" fillId="26" borderId="38" xfId="0" applyNumberFormat="1" applyFont="1" applyFill="1" applyBorder="1" applyAlignment="1">
      <alignment horizontal="left" vertical="center"/>
    </xf>
    <xf numFmtId="165" fontId="1" fillId="26" borderId="38" xfId="0" applyNumberFormat="1" applyFont="1" applyFill="1" applyBorder="1" applyAlignment="1">
      <alignment vertical="center"/>
    </xf>
    <xf numFmtId="165" fontId="2" fillId="26" borderId="38" xfId="0" applyNumberFormat="1" applyFont="1" applyFill="1" applyBorder="1" applyAlignment="1">
      <alignment vertical="center"/>
    </xf>
    <xf numFmtId="164" fontId="1" fillId="27" borderId="29" xfId="0" applyNumberFormat="1" applyFont="1" applyFill="1" applyBorder="1" applyAlignment="1">
      <alignment vertical="center"/>
    </xf>
    <xf numFmtId="164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66" fontId="1" fillId="27" borderId="19" xfId="0" applyNumberFormat="1" applyFont="1" applyFill="1" applyBorder="1" applyAlignment="1">
      <alignment vertical="center"/>
    </xf>
    <xf numFmtId="165" fontId="1" fillId="27" borderId="19" xfId="0" applyNumberFormat="1" applyFont="1" applyFill="1" applyBorder="1" applyAlignment="1">
      <alignment vertical="center"/>
    </xf>
    <xf numFmtId="165" fontId="2" fillId="27" borderId="19" xfId="0" applyNumberFormat="1" applyFont="1" applyFill="1" applyBorder="1" applyAlignment="1">
      <alignment horizontal="right" vertical="center" wrapText="1"/>
    </xf>
    <xf numFmtId="164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66" fontId="1" fillId="28" borderId="19" xfId="0" applyNumberFormat="1" applyFont="1" applyFill="1" applyBorder="1" applyAlignment="1">
      <alignment horizontal="right" vertical="center" wrapText="1"/>
    </xf>
    <xf numFmtId="165" fontId="1" fillId="28" borderId="19" xfId="0" applyNumberFormat="1" applyFont="1" applyFill="1" applyBorder="1" applyAlignment="1">
      <alignment horizontal="right" vertical="center" wrapText="1"/>
    </xf>
    <xf numFmtId="165" fontId="1" fillId="28" borderId="19" xfId="0" applyNumberFormat="1" applyFont="1" applyFill="1" applyBorder="1" applyAlignment="1">
      <alignment vertical="center"/>
    </xf>
    <xf numFmtId="164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66" fontId="1" fillId="27" borderId="19" xfId="0" applyNumberFormat="1" applyFont="1" applyFill="1" applyBorder="1" applyAlignment="1">
      <alignment horizontal="right" vertical="center"/>
    </xf>
    <xf numFmtId="165" fontId="1" fillId="27" borderId="19" xfId="0" applyNumberFormat="1" applyFont="1" applyFill="1" applyBorder="1" applyAlignment="1">
      <alignment horizontal="right" vertical="center"/>
    </xf>
    <xf numFmtId="167" fontId="1" fillId="28" borderId="29" xfId="0" applyNumberFormat="1" applyFont="1" applyFill="1" applyBorder="1" applyAlignment="1">
      <alignment vertical="center"/>
    </xf>
    <xf numFmtId="167" fontId="1" fillId="28" borderId="30" xfId="0" applyNumberFormat="1" applyFont="1" applyFill="1" applyBorder="1" applyAlignment="1">
      <alignment vertical="center"/>
    </xf>
    <xf numFmtId="164" fontId="1" fillId="28" borderId="30" xfId="0" applyNumberFormat="1" applyFont="1" applyFill="1" applyBorder="1" applyAlignment="1">
      <alignment vertical="center"/>
    </xf>
    <xf numFmtId="166" fontId="2" fillId="2" borderId="31" xfId="0" applyNumberFormat="1" applyFont="1" applyFill="1" applyBorder="1" applyAlignment="1">
      <alignment horizontal="right" vertical="center"/>
    </xf>
    <xf numFmtId="167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67" fontId="1" fillId="28" borderId="40" xfId="0" applyNumberFormat="1" applyFont="1" applyFill="1" applyBorder="1" applyAlignment="1">
      <alignment vertical="center"/>
    </xf>
    <xf numFmtId="164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66" fontId="1" fillId="28" borderId="42" xfId="0" applyNumberFormat="1" applyFont="1" applyFill="1" applyBorder="1" applyAlignment="1">
      <alignment horizontal="right" vertical="center" wrapText="1"/>
    </xf>
    <xf numFmtId="165" fontId="1" fillId="28" borderId="42" xfId="0" applyNumberFormat="1" applyFont="1" applyFill="1" applyBorder="1" applyAlignment="1">
      <alignment horizontal="right" vertical="center" wrapText="1"/>
    </xf>
    <xf numFmtId="165" fontId="1" fillId="28" borderId="42" xfId="0" applyNumberFormat="1" applyFont="1" applyFill="1" applyBorder="1" applyAlignment="1">
      <alignment vertical="center"/>
    </xf>
    <xf numFmtId="166" fontId="2" fillId="0" borderId="15" xfId="0" applyNumberFormat="1" applyFont="1" applyBorder="1" applyAlignment="1">
      <alignment horizontal="right" vertical="center" wrapText="1"/>
    </xf>
    <xf numFmtId="165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66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66" fontId="2" fillId="2" borderId="19" xfId="0" applyNumberFormat="1" applyFont="1" applyFill="1" applyBorder="1" applyAlignment="1">
      <alignment horizontal="center" vertical="center"/>
    </xf>
    <xf numFmtId="165" fontId="2" fillId="2" borderId="19" xfId="0" applyNumberFormat="1" applyFont="1" applyFill="1" applyBorder="1" applyAlignment="1">
      <alignment horizontal="center" vertical="center"/>
    </xf>
    <xf numFmtId="165" fontId="2" fillId="0" borderId="19" xfId="0" applyNumberFormat="1" applyFont="1" applyBorder="1" applyAlignment="1">
      <alignment horizontal="left" vertical="center" shrinkToFit="1"/>
    </xf>
    <xf numFmtId="166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66" fontId="2" fillId="2" borderId="34" xfId="0" applyNumberFormat="1" applyFont="1" applyFill="1" applyBorder="1" applyAlignment="1">
      <alignment horizontal="center" vertical="center"/>
    </xf>
    <xf numFmtId="165" fontId="2" fillId="2" borderId="34" xfId="0" applyNumberFormat="1" applyFont="1" applyFill="1" applyBorder="1" applyAlignment="1">
      <alignment horizontal="center" vertical="center"/>
    </xf>
    <xf numFmtId="165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66" fontId="1" fillId="29" borderId="38" xfId="0" applyNumberFormat="1" applyFont="1" applyFill="1" applyBorder="1" applyAlignment="1">
      <alignment vertical="center"/>
    </xf>
    <xf numFmtId="165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66" fontId="1" fillId="30" borderId="19" xfId="0" applyNumberFormat="1" applyFont="1" applyFill="1" applyBorder="1" applyAlignment="1">
      <alignment horizontal="left" vertical="center"/>
    </xf>
    <xf numFmtId="165" fontId="1" fillId="30" borderId="19" xfId="0" applyNumberFormat="1" applyFont="1" applyFill="1" applyBorder="1" applyAlignment="1">
      <alignment horizontal="left" vertical="center"/>
    </xf>
    <xf numFmtId="165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64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66" fontId="1" fillId="31" borderId="19" xfId="0" applyNumberFormat="1" applyFont="1" applyFill="1" applyBorder="1" applyAlignment="1">
      <alignment horizontal="center" vertical="center"/>
    </xf>
    <xf numFmtId="165" fontId="1" fillId="31" borderId="19" xfId="0" applyNumberFormat="1" applyFont="1" applyFill="1" applyBorder="1" applyAlignment="1">
      <alignment horizontal="right" vertical="center" wrapText="1"/>
    </xf>
    <xf numFmtId="165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64" fontId="1" fillId="2" borderId="17" xfId="0" applyNumberFormat="1" applyFont="1" applyFill="1" applyBorder="1" applyAlignment="1">
      <alignment vertical="center"/>
    </xf>
    <xf numFmtId="164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65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66" fontId="1" fillId="2" borderId="19" xfId="0" applyNumberFormat="1" applyFont="1" applyFill="1" applyBorder="1" applyAlignment="1">
      <alignment horizontal="center" vertical="center"/>
    </xf>
    <xf numFmtId="166" fontId="1" fillId="15" borderId="19" xfId="0" applyNumberFormat="1" applyFont="1" applyFill="1" applyBorder="1" applyAlignment="1">
      <alignment horizontal="right" wrapText="1"/>
    </xf>
    <xf numFmtId="166" fontId="1" fillId="4" borderId="19" xfId="0" applyNumberFormat="1" applyFont="1" applyFill="1" applyBorder="1" applyAlignment="1">
      <alignment horizontal="right" wrapText="1"/>
    </xf>
    <xf numFmtId="166" fontId="2" fillId="4" borderId="19" xfId="0" applyNumberFormat="1" applyFont="1" applyFill="1" applyBorder="1" applyAlignment="1">
      <alignment horizontal="right" wrapText="1"/>
    </xf>
    <xf numFmtId="164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66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66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64" fontId="2" fillId="0" borderId="17" xfId="0" applyNumberFormat="1" applyFont="1" applyBorder="1" applyAlignment="1">
      <alignment vertical="center"/>
    </xf>
    <xf numFmtId="164" fontId="2" fillId="0" borderId="18" xfId="0" applyNumberFormat="1" applyFont="1" applyBorder="1" applyAlignment="1">
      <alignment vertical="center"/>
    </xf>
    <xf numFmtId="164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64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66" fontId="1" fillId="31" borderId="42" xfId="0" applyNumberFormat="1" applyFont="1" applyFill="1" applyBorder="1" applyAlignment="1">
      <alignment horizontal="center" vertical="center"/>
    </xf>
    <xf numFmtId="165" fontId="1" fillId="31" borderId="42" xfId="0" applyNumberFormat="1" applyFont="1" applyFill="1" applyBorder="1" applyAlignment="1">
      <alignment horizontal="right" vertical="center" wrapText="1"/>
    </xf>
    <xf numFmtId="165" fontId="1" fillId="31" borderId="42" xfId="0" applyNumberFormat="1" applyFont="1" applyFill="1" applyBorder="1" applyAlignment="1">
      <alignment vertical="center"/>
    </xf>
    <xf numFmtId="166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66" fontId="15" fillId="2" borderId="19" xfId="0" applyNumberFormat="1" applyFont="1" applyFill="1" applyBorder="1" applyAlignment="1">
      <alignment horizontal="right" vertical="center" wrapText="1"/>
    </xf>
    <xf numFmtId="164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66" fontId="1" fillId="0" borderId="19" xfId="0" applyNumberFormat="1" applyFont="1" applyBorder="1" applyAlignment="1">
      <alignment horizontal="right" vertical="center" wrapText="1"/>
    </xf>
    <xf numFmtId="166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64" fontId="2" fillId="0" borderId="13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horizontal="left" vertical="center"/>
    </xf>
    <xf numFmtId="164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65" fontId="2" fillId="0" borderId="15" xfId="0" applyNumberFormat="1" applyFont="1" applyBorder="1" applyAlignment="1">
      <alignment vertical="center"/>
    </xf>
    <xf numFmtId="164" fontId="2" fillId="0" borderId="21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66" fontId="2" fillId="0" borderId="34" xfId="0" applyNumberFormat="1" applyFont="1" applyBorder="1" applyAlignment="1">
      <alignment horizontal="right" vertical="center" wrapText="1"/>
    </xf>
    <xf numFmtId="166" fontId="2" fillId="4" borderId="34" xfId="0" applyNumberFormat="1" applyFont="1" applyFill="1" applyBorder="1" applyAlignment="1">
      <alignment horizontal="right" vertical="center" wrapText="1"/>
    </xf>
    <xf numFmtId="164" fontId="1" fillId="0" borderId="13" xfId="0" applyNumberFormat="1" applyFont="1" applyBorder="1" applyAlignment="1">
      <alignment vertical="center"/>
    </xf>
    <xf numFmtId="164" fontId="1" fillId="0" borderId="14" xfId="0" applyNumberFormat="1" applyFont="1" applyBorder="1" applyAlignment="1">
      <alignment vertical="center"/>
    </xf>
    <xf numFmtId="164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66" fontId="1" fillId="22" borderId="15" xfId="0" applyNumberFormat="1" applyFont="1" applyFill="1" applyBorder="1" applyAlignment="1">
      <alignment horizontal="right" vertical="center" wrapText="1"/>
    </xf>
    <xf numFmtId="165" fontId="1" fillId="22" borderId="15" xfId="0" applyNumberFormat="1" applyFont="1" applyFill="1" applyBorder="1" applyAlignment="1">
      <alignment horizontal="right" vertical="center" wrapText="1"/>
    </xf>
    <xf numFmtId="165" fontId="1" fillId="0" borderId="15" xfId="0" applyNumberFormat="1" applyFont="1" applyBorder="1" applyAlignment="1">
      <alignment vertical="center"/>
    </xf>
    <xf numFmtId="164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64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64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64" fontId="1" fillId="0" borderId="43" xfId="0" applyNumberFormat="1" applyFont="1" applyBorder="1" applyAlignment="1">
      <alignment vertical="center"/>
    </xf>
    <xf numFmtId="164" fontId="1" fillId="0" borderId="44" xfId="0" applyNumberFormat="1" applyFont="1" applyBorder="1" applyAlignment="1">
      <alignment vertical="center"/>
    </xf>
    <xf numFmtId="164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66" fontId="2" fillId="2" borderId="46" xfId="0" applyNumberFormat="1" applyFont="1" applyFill="1" applyBorder="1" applyAlignment="1">
      <alignment horizontal="right" vertical="center" wrapText="1"/>
    </xf>
    <xf numFmtId="166" fontId="2" fillId="4" borderId="46" xfId="0" applyNumberFormat="1" applyFont="1" applyFill="1" applyBorder="1" applyAlignment="1">
      <alignment horizontal="right" vertical="center" wrapText="1"/>
    </xf>
    <xf numFmtId="165" fontId="2" fillId="0" borderId="46" xfId="0" applyNumberFormat="1" applyFont="1" applyBorder="1" applyAlignment="1">
      <alignment horizontal="right" vertical="center" wrapText="1"/>
    </xf>
    <xf numFmtId="165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66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64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66" fontId="2" fillId="2" borderId="46" xfId="0" applyNumberFormat="1" applyFont="1" applyFill="1" applyBorder="1" applyAlignment="1">
      <alignment horizontal="center" vertical="center"/>
    </xf>
    <xf numFmtId="165" fontId="2" fillId="2" borderId="46" xfId="0" applyNumberFormat="1" applyFont="1" applyFill="1" applyBorder="1" applyAlignment="1">
      <alignment horizontal="center" vertical="center"/>
    </xf>
    <xf numFmtId="166" fontId="1" fillId="31" borderId="28" xfId="0" applyNumberFormat="1" applyFont="1" applyFill="1" applyBorder="1" applyAlignment="1">
      <alignment horizontal="center" vertical="center"/>
    </xf>
    <xf numFmtId="164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66" fontId="1" fillId="10" borderId="19" xfId="0" applyNumberFormat="1" applyFont="1" applyFill="1" applyBorder="1" applyAlignment="1">
      <alignment horizontal="left" vertical="center"/>
    </xf>
    <xf numFmtId="165" fontId="1" fillId="10" borderId="19" xfId="0" applyNumberFormat="1" applyFont="1" applyFill="1" applyBorder="1" applyAlignment="1">
      <alignment horizontal="left" vertical="center"/>
    </xf>
    <xf numFmtId="165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66" fontId="2" fillId="2" borderId="46" xfId="0" applyNumberFormat="1" applyFont="1" applyFill="1" applyBorder="1" applyAlignment="1">
      <alignment horizontal="center" vertical="center"/>
    </xf>
    <xf numFmtId="165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65" fontId="16" fillId="32" borderId="28" xfId="0" applyNumberFormat="1" applyFont="1" applyFill="1" applyBorder="1" applyAlignment="1"/>
    <xf numFmtId="165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65" fontId="16" fillId="0" borderId="19" xfId="0" applyNumberFormat="1" applyFont="1" applyBorder="1" applyAlignment="1"/>
    <xf numFmtId="165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65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65" fontId="16" fillId="15" borderId="19" xfId="0" applyNumberFormat="1" applyFont="1" applyFill="1" applyBorder="1" applyAlignment="1"/>
    <xf numFmtId="165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68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64" fontId="16" fillId="15" borderId="19" xfId="0" applyNumberFormat="1" applyFont="1" applyFill="1" applyBorder="1" applyAlignment="1"/>
    <xf numFmtId="166" fontId="20" fillId="4" borderId="19" xfId="0" applyNumberFormat="1" applyFont="1" applyFill="1" applyBorder="1" applyAlignment="1">
      <alignment horizontal="right" wrapText="1"/>
    </xf>
    <xf numFmtId="168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64" fontId="20" fillId="15" borderId="19" xfId="0" applyNumberFormat="1" applyFont="1" applyFill="1" applyBorder="1" applyAlignment="1">
      <alignment horizontal="right"/>
    </xf>
    <xf numFmtId="166" fontId="20" fillId="15" borderId="19" xfId="0" applyNumberFormat="1" applyFont="1" applyFill="1" applyBorder="1" applyAlignment="1">
      <alignment horizontal="right"/>
    </xf>
    <xf numFmtId="165" fontId="20" fillId="0" borderId="19" xfId="0" applyNumberFormat="1" applyFont="1" applyBorder="1" applyAlignment="1">
      <alignment horizontal="right"/>
    </xf>
    <xf numFmtId="168" fontId="20" fillId="6" borderId="19" xfId="0" applyNumberFormat="1" applyFont="1" applyFill="1" applyBorder="1" applyAlignment="1">
      <alignment horizontal="right"/>
    </xf>
    <xf numFmtId="164" fontId="16" fillId="0" borderId="19" xfId="0" applyNumberFormat="1" applyFont="1" applyBorder="1" applyAlignment="1"/>
    <xf numFmtId="166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64" fontId="16" fillId="0" borderId="46" xfId="0" applyNumberFormat="1" applyFont="1" applyBorder="1" applyAlignment="1"/>
    <xf numFmtId="166" fontId="20" fillId="4" borderId="46" xfId="0" applyNumberFormat="1" applyFont="1" applyFill="1" applyBorder="1" applyAlignment="1">
      <alignment horizontal="right" wrapText="1"/>
    </xf>
    <xf numFmtId="165" fontId="16" fillId="0" borderId="46" xfId="0" applyNumberFormat="1" applyFont="1" applyBorder="1" applyAlignment="1"/>
    <xf numFmtId="168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165" fontId="1" fillId="15" borderId="20" xfId="0" applyNumberFormat="1" applyFont="1" applyFill="1" applyBorder="1" applyAlignment="1"/>
    <xf numFmtId="165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64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69" fontId="2" fillId="4" borderId="1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20" fillId="15" borderId="18" xfId="0" applyFont="1" applyFill="1" applyBorder="1" applyAlignment="1"/>
    <xf numFmtId="0" fontId="3" fillId="0" borderId="18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65" fontId="1" fillId="5" borderId="5" xfId="0" applyNumberFormat="1" applyFont="1" applyFill="1" applyBorder="1" applyAlignment="1">
      <alignment horizontal="center" vertical="center" wrapText="1"/>
    </xf>
    <xf numFmtId="165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3" fillId="0" borderId="14" xfId="0" applyFont="1" applyBorder="1"/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7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9" fillId="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view="pageBreakPreview" zoomScale="70" zoomScaleNormal="70" zoomScaleSheetLayoutView="70" workbookViewId="0">
      <pane ySplit="6" topLeftCell="A7" activePane="bottomLeft" state="frozen"/>
      <selection activeCell="G96" sqref="G96"/>
      <selection pane="bottomLeft" activeCell="G10" sqref="G10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9" width="17.77734375" bestFit="1" customWidth="1"/>
    <col min="10" max="10" width="15.77734375" customWidth="1"/>
    <col min="11" max="11" width="10.21875" customWidth="1"/>
    <col min="12" max="12" width="20.77734375" bestFit="1" customWidth="1"/>
    <col min="13" max="14" width="19.3320312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1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118975742.94</v>
      </c>
      <c r="M8" s="23">
        <f t="shared" ca="1" si="0"/>
        <v>67810897.439999998</v>
      </c>
      <c r="N8" s="23">
        <f t="shared" ca="1" si="0"/>
        <v>74364406.859999999</v>
      </c>
      <c r="O8" s="22">
        <f t="shared" ref="O8:O16" ca="1" si="1">IF(L8&gt;0,N8*100/L8,0)</f>
        <v>62.503839036754158</v>
      </c>
      <c r="P8" s="22">
        <f t="shared" ref="P8:P16" ca="1" si="2">IF(M8&gt;0,N8*100/M8,0)</f>
        <v>109.6643897476783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118975742.94</v>
      </c>
      <c r="M10" s="30">
        <f t="shared" ca="1" si="4"/>
        <v>67810897.439999998</v>
      </c>
      <c r="N10" s="30">
        <f t="shared" ca="1" si="4"/>
        <v>74364406.859999999</v>
      </c>
      <c r="O10" s="29">
        <f t="shared" ca="1" si="1"/>
        <v>62.503839036754158</v>
      </c>
      <c r="P10" s="29">
        <f t="shared" ca="1" si="2"/>
        <v>109.6643897476783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98653524</v>
      </c>
      <c r="M12" s="39">
        <f t="shared" ca="1" si="6"/>
        <v>47488678.5</v>
      </c>
      <c r="N12" s="39">
        <f t="shared" ca="1" si="6"/>
        <v>54042187.920000002</v>
      </c>
      <c r="O12" s="39">
        <f t="shared" ca="1" si="1"/>
        <v>54.779784572115233</v>
      </c>
      <c r="P12" s="39">
        <f t="shared" ca="1" si="2"/>
        <v>113.80015116655646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63518824</v>
      </c>
      <c r="M14" s="39">
        <f t="shared" si="8"/>
        <v>0</v>
      </c>
      <c r="N14" s="39">
        <f t="shared" ca="1" si="8"/>
        <v>16555970.139999999</v>
      </c>
      <c r="O14" s="39">
        <f t="shared" ca="1" si="1"/>
        <v>26.064667286661347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20322218.939999998</v>
      </c>
      <c r="M16" s="39">
        <f t="shared" ca="1" si="10"/>
        <v>20322218.939999998</v>
      </c>
      <c r="N16" s="39">
        <f t="shared" ca="1" si="10"/>
        <v>20322218.939999998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78811758.939999998</v>
      </c>
      <c r="M18" s="23">
        <f t="shared" ca="1" si="11"/>
        <v>67810897.439999998</v>
      </c>
      <c r="N18" s="23">
        <f t="shared" ca="1" si="11"/>
        <v>57808436.719999999</v>
      </c>
      <c r="O18" s="22">
        <f t="shared" ref="O18:O26" ca="1" si="12">IF(L18&gt;0,N18*100/L18,0)</f>
        <v>73.350014639325593</v>
      </c>
      <c r="P18" s="22">
        <f t="shared" ref="P18:P26" ca="1" si="13">IF(M18&gt;0,N18*100/M18,0)</f>
        <v>85.249478922100522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78811758.939999998</v>
      </c>
      <c r="M20" s="30">
        <f t="shared" ca="1" si="15"/>
        <v>67810897.439999998</v>
      </c>
      <c r="N20" s="30">
        <f t="shared" ca="1" si="15"/>
        <v>57808436.719999999</v>
      </c>
      <c r="O20" s="29">
        <f t="shared" ca="1" si="12"/>
        <v>73.350014639325593</v>
      </c>
      <c r="P20" s="29">
        <f t="shared" ca="1" si="13"/>
        <v>85.249478922100522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58489540</v>
      </c>
      <c r="M22" s="42">
        <f t="shared" ca="1" si="17"/>
        <v>47488678.5</v>
      </c>
      <c r="N22" s="39">
        <f t="shared" ca="1" si="17"/>
        <v>37486217.780000001</v>
      </c>
      <c r="O22" s="39">
        <f t="shared" ca="1" si="12"/>
        <v>64.090464346274558</v>
      </c>
      <c r="P22" s="39">
        <f t="shared" ca="1" si="13"/>
        <v>78.937167687241498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23354840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20322218.939999998</v>
      </c>
      <c r="M26" s="50">
        <f t="shared" ca="1" si="21"/>
        <v>20322218.939999998</v>
      </c>
      <c r="N26" s="50">
        <f t="shared" ca="1" si="21"/>
        <v>20322218.939999998</v>
      </c>
      <c r="O26" s="50">
        <f t="shared" ca="1" si="12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2">L29+L30</f>
        <v>40163984</v>
      </c>
      <c r="M28" s="23">
        <f t="shared" si="22"/>
        <v>0</v>
      </c>
      <c r="N28" s="23">
        <f t="shared" ca="1" si="22"/>
        <v>16555970.139999999</v>
      </c>
      <c r="O28" s="22">
        <f t="shared" ref="O28:O30" ca="1" si="23">IF(L28&gt;0,N28*100/L28,0)</f>
        <v>41.220936000771232</v>
      </c>
      <c r="P28" s="22">
        <f t="shared" ref="P28:P37" si="24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40163984</v>
      </c>
      <c r="M30" s="30">
        <f t="shared" si="26"/>
        <v>0</v>
      </c>
      <c r="N30" s="30">
        <f t="shared" ca="1" si="26"/>
        <v>16555970.139999999</v>
      </c>
      <c r="O30" s="29">
        <f t="shared" ca="1" si="23"/>
        <v>41.220936000771232</v>
      </c>
      <c r="P30" s="29">
        <f t="shared" si="24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40163984</v>
      </c>
      <c r="M32" s="39">
        <f t="shared" si="29"/>
        <v>0</v>
      </c>
      <c r="N32" s="39">
        <f t="shared" ca="1" si="29"/>
        <v>16555970.139999999</v>
      </c>
      <c r="O32" s="39">
        <f t="shared" ca="1" si="28"/>
        <v>41.220936000771232</v>
      </c>
      <c r="P32" s="39">
        <f t="shared" si="24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40163984</v>
      </c>
      <c r="M34" s="39">
        <f t="shared" si="31"/>
        <v>0</v>
      </c>
      <c r="N34" s="39">
        <f t="shared" ca="1" si="31"/>
        <v>16555970.139999999</v>
      </c>
      <c r="O34" s="39">
        <f t="shared" ca="1" si="28"/>
        <v>41.220936000771232</v>
      </c>
      <c r="P34" s="39">
        <f t="shared" si="24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78811758.939999998</v>
      </c>
      <c r="M37" s="55">
        <f t="shared" ca="1" si="32"/>
        <v>67810897.439999998</v>
      </c>
      <c r="N37" s="55">
        <f t="shared" ca="1" si="32"/>
        <v>57808436.720000006</v>
      </c>
      <c r="O37" s="56">
        <f t="shared" ca="1" si="28"/>
        <v>73.350014639325607</v>
      </c>
      <c r="P37" s="56">
        <f t="shared" ca="1" si="24"/>
        <v>85.249478922100536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3">L42+L43</f>
        <v>27236729.699999999</v>
      </c>
      <c r="M41" s="79">
        <f t="shared" ca="1" si="33"/>
        <v>24149583.699999999</v>
      </c>
      <c r="N41" s="79">
        <f t="shared" ca="1" si="33"/>
        <v>22777040.109999999</v>
      </c>
      <c r="O41" s="78">
        <f t="shared" ref="O41:O43" ca="1" si="34">IF(L41&gt;0,N41*100/L41,0)</f>
        <v>83.626192868521954</v>
      </c>
      <c r="P41" s="78">
        <f t="shared" ref="P41:P43" ca="1" si="35">IF(M41&gt;0,N41*100/M41,0)</f>
        <v>94.316491716583926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27236729.699999999</v>
      </c>
      <c r="M43" s="79">
        <f t="shared" ca="1" si="37"/>
        <v>24149583.699999999</v>
      </c>
      <c r="N43" s="79">
        <f t="shared" ca="1" si="37"/>
        <v>22777040.109999999</v>
      </c>
      <c r="O43" s="78">
        <f t="shared" ca="1" si="34"/>
        <v>83.626192868521954</v>
      </c>
      <c r="P43" s="78">
        <f t="shared" ca="1" si="35"/>
        <v>94.316491716583926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9679054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8306510.4100000001</v>
      </c>
      <c r="O45" s="39">
        <f ca="1">IF(L45&gt;0,N45*100/L45,0)</f>
        <v>65.066428616189626</v>
      </c>
      <c r="P45" s="39">
        <f ca="1">IF(M45&gt;0,N45*100/M45,0)</f>
        <v>85.819444854838082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14470529.699999999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14470529.699999999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14470529.699999999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7284024.5</v>
      </c>
      <c r="N53" s="121">
        <f t="shared" ca="1" si="38"/>
        <v>6418229.1699999999</v>
      </c>
      <c r="O53" s="120">
        <f t="shared" ref="O53:O55" ca="1" si="39">IF(L53&gt;0,N53*100/L53,0)</f>
        <v>71.826820170775648</v>
      </c>
      <c r="P53" s="120">
        <f t="shared" ref="P53:P55" ca="1" si="40">IF(M53&gt;0,N53*100/M53,0)</f>
        <v>88.113777898468072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7284024.5</v>
      </c>
      <c r="N55" s="121">
        <f t="shared" ca="1" si="42"/>
        <v>6418229.1699999999</v>
      </c>
      <c r="O55" s="120">
        <f t="shared" ca="1" si="39"/>
        <v>71.826820170775648</v>
      </c>
      <c r="P55" s="120">
        <f t="shared" ca="1" si="40"/>
        <v>88.113777898468072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7284024.5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6418229.1699999999</v>
      </c>
      <c r="O57" s="39">
        <f ca="1">IF(L57&gt;0,N57*100/L57,0)</f>
        <v>71.826820170775648</v>
      </c>
      <c r="P57" s="39">
        <f ca="1">IF(M57&gt;0,N57*100/M57,0)</f>
        <v>88.113777898468072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10776374.24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9773714.2400000002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8131057.4199999999</v>
      </c>
      <c r="O66" s="151">
        <f t="shared" ref="O66:O68" ca="1" si="44">IF(L66&gt;0,N66*100/L66,0)</f>
        <v>75.452626634095068</v>
      </c>
      <c r="P66" s="151">
        <f t="shared" ref="P66:P68" ca="1" si="45">IF(M66&gt;0,N66*100/M66,0)</f>
        <v>83.193115946880809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10776374.24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9773714.2400000002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8131057.4199999999</v>
      </c>
      <c r="O68" s="156">
        <f t="shared" ca="1" si="44"/>
        <v>75.452626634095068</v>
      </c>
      <c r="P68" s="156">
        <f t="shared" ca="1" si="45"/>
        <v>83.193115946880809</v>
      </c>
    </row>
    <row r="69" spans="1:16" ht="21.75" customHeight="1" x14ac:dyDescent="0.4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6164240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4521583.18</v>
      </c>
      <c r="O70" s="168">
        <f ca="1">IF(L70&gt;0,N70*100/L70,0)</f>
        <v>63.089804238931755</v>
      </c>
      <c r="P70" s="168">
        <f ca="1">IF(M70&gt;0,N70*100/M70,0)</f>
        <v>73.351835424967234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3609474.24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3609474.24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2</v>
      </c>
      <c r="K88" s="163">
        <f t="shared" ca="1" si="46"/>
        <v>15.384615384615385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45</v>
      </c>
      <c r="K92" s="143">
        <f t="shared" ref="K92:K93" ca="1" si="47">IF(I92&gt;0,J92*100/I92,0)</f>
        <v>91.836734693877546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2455575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2255125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1751927.5</v>
      </c>
      <c r="O94" s="151">
        <f t="shared" ref="O94:O96" ca="1" si="48">IF(L94&gt;0,N94*100/L94,0)</f>
        <v>71.344898852610896</v>
      </c>
      <c r="P94" s="151">
        <f t="shared" ref="P94:P96" ca="1" si="49">IF(M94&gt;0,N94*100/M94,0)</f>
        <v>77.686491879607559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2455575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2255125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1751927.5</v>
      </c>
      <c r="O96" s="156">
        <f t="shared" ca="1" si="48"/>
        <v>71.344898852610896</v>
      </c>
      <c r="P96" s="156">
        <f t="shared" ca="1" si="49"/>
        <v>77.686491879607559</v>
      </c>
    </row>
    <row r="97" spans="1:16" ht="21.75" customHeight="1" x14ac:dyDescent="0.4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1056730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553532.5</v>
      </c>
      <c r="O98" s="168">
        <f ca="1">IF(L98&gt;0,N98*100/L98,0)</f>
        <v>44.029693440875612</v>
      </c>
      <c r="P98" s="168">
        <f ca="1">IF(M98&gt;0,N98*100/M98,0)</f>
        <v>52.381639586270857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45</v>
      </c>
      <c r="K109" s="224">
        <f t="shared" ca="1" si="50"/>
        <v>91.836734693877546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45</v>
      </c>
      <c r="K111" s="224">
        <f t="shared" ca="1" si="50"/>
        <v>91.836734693877546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944400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724000.6</v>
      </c>
      <c r="O118" s="151">
        <f t="shared" ref="O118:O120" ca="1" si="51">IF(L118&gt;0,N118*100/L118,0)</f>
        <v>87.821518680252311</v>
      </c>
      <c r="P118" s="151">
        <f t="shared" ref="P118:P120" ca="1" si="52">IF(M118&gt;0,N118*100/M118,0)</f>
        <v>76.662494705633208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944400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724000.6</v>
      </c>
      <c r="O120" s="156">
        <f t="shared" ca="1" si="51"/>
        <v>87.821518680252311</v>
      </c>
      <c r="P120" s="156">
        <f t="shared" ca="1" si="52"/>
        <v>76.662494705633208</v>
      </c>
    </row>
    <row r="121" spans="1:16" ht="21.75" customHeight="1" x14ac:dyDescent="0.4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944400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724000.6</v>
      </c>
      <c r="O122" s="168">
        <f ca="1">IF(L122&gt;0,N122*100/L122,0)</f>
        <v>87.821518680252311</v>
      </c>
      <c r="P122" s="168">
        <f ca="1">IF(M122&gt;0,N122*100/M122,0)</f>
        <v>76.662494705633208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4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4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5607880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3871081.4999999995</v>
      </c>
      <c r="O140" s="151">
        <f t="shared" ref="O140:O142" ca="1" si="54">IF(L140&gt;0,N140*100/L140,0)</f>
        <v>65.789964309993195</v>
      </c>
      <c r="P140" s="151">
        <f t="shared" ref="P140:P142" ca="1" si="55">IF(M140&gt;0,N140*100/M140,0)</f>
        <v>69.029321240825396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5607880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3871081.4999999995</v>
      </c>
      <c r="O142" s="156">
        <f t="shared" ca="1" si="54"/>
        <v>65.789964309993195</v>
      </c>
      <c r="P142" s="156">
        <f t="shared" ca="1" si="55"/>
        <v>69.029321240825396</v>
      </c>
    </row>
    <row r="143" spans="1:16" ht="21.75" customHeight="1" x14ac:dyDescent="0.4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5369880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3633081.4999999995</v>
      </c>
      <c r="O144" s="168">
        <f ca="1">IF(L144&gt;0,N144*100/L144,0)</f>
        <v>64.347883457314907</v>
      </c>
      <c r="P144" s="168">
        <f ca="1">IF(M144&gt;0,N144*100/M144,0)</f>
        <v>67.656660856480954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40</v>
      </c>
      <c r="K149" s="276">
        <f ca="1">IF(I149&gt;0,J149*100/I149,0)</f>
        <v>58.823529411764703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17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14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16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40</v>
      </c>
      <c r="K158" s="163">
        <f ca="1">IF(I158&gt;0,J158*100/I158,0)</f>
        <v>58.823529411764703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1499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1497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50</v>
      </c>
      <c r="K164" s="285">
        <f ca="1">IF(I164&gt;0,J164*100/I164,0)</f>
        <v>96.15384615384616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50</v>
      </c>
      <c r="K173" s="163">
        <f ca="1">IF(I173&gt;0,J173*100/I173,0)</f>
        <v>96.15384615384616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2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85">
        <f ca="1">IF(I176&gt;0,J176*100/I176,0)</f>
        <v>75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2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3</v>
      </c>
      <c r="K185" s="224">
        <f t="shared" ref="K185:K186" ca="1" si="56">IF(I185&gt;0,J185*100/I185,0)</f>
        <v>75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24">
        <f t="shared" ca="1" si="56"/>
        <v>75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50000</v>
      </c>
      <c r="K189" s="285">
        <f ca="1">IF(I189&gt;0,J189*100/I189,0)</f>
        <v>4.0849673202614376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694000</v>
      </c>
      <c r="K199" s="163">
        <f t="shared" ref="K199:K201" ca="1" si="57">IF(I199&gt;0,J199*100/I199,0)</f>
        <v>56.699346405228759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50000</v>
      </c>
      <c r="K200" s="163">
        <f t="shared" ca="1" si="57"/>
        <v>4.0849673202614376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4">
        <f t="shared" ref="K215:K216" ca="1" si="58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24">
        <f t="shared" ca="1" si="58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330100</v>
      </c>
      <c r="O220" s="151">
        <f t="shared" ref="O220:O222" ca="1" si="59">IF(L220&gt;0,N220*100/L220,0)</f>
        <v>99.275209768127269</v>
      </c>
      <c r="P220" s="151">
        <f t="shared" ref="P220:P222" ca="1" si="60">IF(M220&gt;0,N220*100/M220,0)</f>
        <v>99.275209768127269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330100</v>
      </c>
      <c r="O222" s="156">
        <f t="shared" ca="1" si="59"/>
        <v>99.275209768127269</v>
      </c>
      <c r="P222" s="156">
        <f t="shared" ca="1" si="60"/>
        <v>99.275209768127269</v>
      </c>
    </row>
    <row r="223" spans="1:16" ht="21.75" customHeight="1" x14ac:dyDescent="0.4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330100</v>
      </c>
      <c r="O224" s="168">
        <f ca="1">IF(L224&gt;0,N224*100/L224,0)</f>
        <v>99.275209768127269</v>
      </c>
      <c r="P224" s="168">
        <f ca="1">IF(M224&gt;0,N224*100/M224,0)</f>
        <v>99.275209768127269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8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12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12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24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9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827500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706456.76</v>
      </c>
      <c r="O250" s="151">
        <f t="shared" ref="O250:O252" ca="1" si="61">IF(L250&gt;0,N250*100/L250,0)</f>
        <v>62.740387211367675</v>
      </c>
      <c r="P250" s="151">
        <f t="shared" ref="P250:P252" ca="1" si="62">IF(M250&gt;0,N250*100/M250,0)</f>
        <v>85.372418126888221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827500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706456.76</v>
      </c>
      <c r="O252" s="156">
        <f t="shared" ca="1" si="61"/>
        <v>62.740387211367675</v>
      </c>
      <c r="P252" s="156">
        <f t="shared" ca="1" si="62"/>
        <v>85.372418126888221</v>
      </c>
    </row>
    <row r="253" spans="1:16" ht="21.75" customHeight="1" x14ac:dyDescent="0.4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827500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706456.76</v>
      </c>
      <c r="O254" s="168">
        <f ca="1">IF(L254&gt;0,N254*100/L254,0)</f>
        <v>62.740387211367675</v>
      </c>
      <c r="P254" s="168">
        <f ca="1">IF(M254&gt;0,N254*100/M254,0)</f>
        <v>85.372418126888221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8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75</v>
      </c>
      <c r="K266" s="163">
        <f t="shared" ca="1" si="63"/>
        <v>41.666666666666664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7</v>
      </c>
      <c r="K267" s="163">
        <f t="shared" ca="1" si="63"/>
        <v>87.5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1837250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1442037.75</v>
      </c>
      <c r="O271" s="151">
        <f t="shared" ref="O271:O273" ca="1" si="64">IF(L271&gt;0,N271*100/L271,0)</f>
        <v>58.238267840555714</v>
      </c>
      <c r="P271" s="151">
        <f t="shared" ref="P271:P273" ca="1" si="65">IF(M271&gt;0,N271*100/M271,0)</f>
        <v>78.488923663083412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1837250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1442037.75</v>
      </c>
      <c r="O273" s="156">
        <f t="shared" ca="1" si="64"/>
        <v>58.238267840555714</v>
      </c>
      <c r="P273" s="156">
        <f t="shared" ca="1" si="65"/>
        <v>78.488923663083412</v>
      </c>
    </row>
    <row r="274" spans="1:16" ht="21.75" customHeight="1" x14ac:dyDescent="0.4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1837250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1442037.75</v>
      </c>
      <c r="O275" s="168">
        <f ca="1">IF(L275&gt;0,N275*100/L275,0)</f>
        <v>58.238267840555714</v>
      </c>
      <c r="P275" s="168">
        <f ca="1">IF(M275&gt;0,N275*100/M275,0)</f>
        <v>78.488923663083412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50045</v>
      </c>
      <c r="O290" s="151">
        <f t="shared" ref="O290:O292" ca="1" si="66">IF(L290&gt;0,N290*100/L290,0)</f>
        <v>41.441702550513412</v>
      </c>
      <c r="P290" s="151">
        <f t="shared" ref="P290:P292" ca="1" si="67">IF(M290&gt;0,N290*100/M290,0)</f>
        <v>41.441702550513412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50045</v>
      </c>
      <c r="O292" s="156">
        <f t="shared" ca="1" si="66"/>
        <v>41.441702550513412</v>
      </c>
      <c r="P292" s="156">
        <f t="shared" ca="1" si="67"/>
        <v>41.441702550513412</v>
      </c>
    </row>
    <row r="293" spans="1:16" ht="21.75" customHeight="1" x14ac:dyDescent="0.4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767200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499527.58999999997</v>
      </c>
      <c r="O310" s="151">
        <f t="shared" ref="O310:O312" ca="1" si="68">IF(L310&gt;0,N310*100/L310,0)</f>
        <v>64.638663302277436</v>
      </c>
      <c r="P310" s="151">
        <f t="shared" ref="P310:P312" ca="1" si="69">IF(M310&gt;0,N310*100/M310,0)</f>
        <v>65.110478362877998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767200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499527.58999999997</v>
      </c>
      <c r="O312" s="156">
        <f t="shared" ca="1" si="68"/>
        <v>64.638663302277436</v>
      </c>
      <c r="P312" s="156">
        <f t="shared" ca="1" si="69"/>
        <v>65.110478362877998</v>
      </c>
    </row>
    <row r="313" spans="1:16" ht="21.75" customHeight="1" x14ac:dyDescent="0.4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767200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499527.58999999997</v>
      </c>
      <c r="O314" s="168">
        <f ca="1">IF(L314&gt;0,N314*100/L314,0)</f>
        <v>64.638663302277436</v>
      </c>
      <c r="P314" s="168">
        <f ca="1">IF(M314&gt;0,N314*100/M314,0)</f>
        <v>65.110478362877998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3221</v>
      </c>
      <c r="K328" s="317">
        <f ca="1">IF(I328&gt;0,J328*100/I328,0)</f>
        <v>40.520820228959614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17870810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13910950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11106933.32</v>
      </c>
      <c r="O329" s="151">
        <f t="shared" ref="O329:O331" ca="1" si="70">IF(L329&gt;0,N329*100/L329,0)</f>
        <v>62.151258504790775</v>
      </c>
      <c r="P329" s="151">
        <f t="shared" ref="P329:P331" ca="1" si="71">IF(M329&gt;0,N329*100/M329,0)</f>
        <v>79.843097128521052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17870810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13910950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11106933.32</v>
      </c>
      <c r="O331" s="156">
        <f t="shared" ca="1" si="70"/>
        <v>62.151258504790775</v>
      </c>
      <c r="P331" s="156">
        <f t="shared" ca="1" si="71"/>
        <v>79.843097128521052</v>
      </c>
    </row>
    <row r="332" spans="1:16" ht="21.75" customHeight="1" x14ac:dyDescent="0.4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17064990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13105130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10301113.32</v>
      </c>
      <c r="O333" s="168">
        <f ca="1">IF(L333&gt;0,N333*100/L333,0)</f>
        <v>60.364016152368094</v>
      </c>
      <c r="P333" s="168">
        <f ca="1">IF(M333&gt;0,N333*100/M333,0)</f>
        <v>78.603671386701237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8431690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0">
        <f ca="1">L337</f>
        <v>805820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3436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24852.989999999983</v>
      </c>
      <c r="K340" s="342">
        <f t="shared" ca="1" si="72"/>
        <v>59.01921158869623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4674</v>
      </c>
      <c r="K341" s="342">
        <f t="shared" ca="1" si="72"/>
        <v>58.799849037614791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42933.009999999995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88</v>
      </c>
      <c r="K343" s="342">
        <f t="shared" ca="1" si="72"/>
        <v>1.1070574915083657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801.83999999999992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3221</v>
      </c>
      <c r="K345" s="342">
        <f t="shared" ca="1" si="72"/>
        <v>40.520820228959614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29464.519999999979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40163984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16555970.139999997</v>
      </c>
      <c r="O347" s="357">
        <f ca="1">+IF(L347&gt;0,N347*100/L347,0)</f>
        <v>41.220936000771232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1238</v>
      </c>
      <c r="K349" s="371">
        <f t="shared" ref="K349:K350" ca="1" si="73">IF(I349&gt;0,J349*100/I349,0)</f>
        <v>66.918918918918919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3290996.77</v>
      </c>
      <c r="O349" s="372">
        <f ca="1">+IF(L349&gt;0,N349*100/L349,0)</f>
        <v>62.0369237874418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3290996.77</v>
      </c>
      <c r="O352" s="165">
        <f t="shared" ca="1" si="74"/>
        <v>62.0369237874418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3290996.77</v>
      </c>
      <c r="O354" s="168">
        <f t="shared" ca="1" si="74"/>
        <v>62.0369237874418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834368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908338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1022162.87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526127.9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1238</v>
      </c>
      <c r="K375" s="163">
        <f t="shared" ref="K375:K377" ca="1" si="76">IF(I375&gt;0,J375*100/I375,0)</f>
        <v>66.918918918918919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611</v>
      </c>
      <c r="K376" s="163">
        <f t="shared" ca="1" si="76"/>
        <v>79.557291666666671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627</v>
      </c>
      <c r="K377" s="163">
        <f t="shared" ca="1" si="76"/>
        <v>57.948243992606287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1500</v>
      </c>
      <c r="K380" s="371">
        <f t="shared" ref="K380:K381" ca="1" si="77">IF(I380&gt;0,J380*100/I380,0)</f>
        <v>11.111111111111111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3751780.5</v>
      </c>
      <c r="O380" s="372">
        <f ca="1">+IF(L380&gt;0,N380*100/L380,0)</f>
        <v>27.176377912830578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3751780.5</v>
      </c>
      <c r="O383" s="165">
        <f t="shared" ca="1" si="78"/>
        <v>27.176377912830578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3751780.5</v>
      </c>
      <c r="O385" s="168">
        <f t="shared" ca="1" si="78"/>
        <v>27.176377912830578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2266522.2000000002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312500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860885.05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311873.25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1500</v>
      </c>
      <c r="K397" s="163">
        <f t="shared" ca="1" si="79"/>
        <v>11.111111111111111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50</v>
      </c>
      <c r="K398" s="163">
        <f t="shared" ca="1" si="79"/>
        <v>3.7037037037037037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2817</v>
      </c>
      <c r="K401" s="371">
        <f t="shared" ref="K401:K402" ca="1" si="80">IF(I401&gt;0,J401*100/I401,0)</f>
        <v>98.119122257053291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2329049.4500000002</v>
      </c>
      <c r="O401" s="372">
        <f ca="1">+IF(L401&gt;0,N401*100/L401,0)</f>
        <v>72.184565724061841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864</v>
      </c>
      <c r="K402" s="371">
        <f t="shared" ca="1" si="80"/>
        <v>90.282131661442008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2329049.4500000002</v>
      </c>
      <c r="O404" s="168">
        <f t="shared" ca="1" si="81"/>
        <v>72.184565724061841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2329049.4500000002</v>
      </c>
      <c r="O406" s="168">
        <f t="shared" ca="1" si="81"/>
        <v>72.184565724061841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1709920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363584.95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255544.5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864</v>
      </c>
      <c r="K416" s="201">
        <f t="shared" ref="K416:K432" ca="1" si="82">IF(I416&gt;0,J416*100/I416,0)</f>
        <v>90.282131661442008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489</v>
      </c>
      <c r="K421" s="201">
        <f t="shared" ca="1" si="82"/>
        <v>85.191637630662015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1692</v>
      </c>
      <c r="K422" s="201">
        <f t="shared" ca="1" si="82"/>
        <v>98.257839721254356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539</v>
      </c>
      <c r="K424" s="163">
        <f t="shared" ca="1" si="82"/>
        <v>93.902439024390247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489</v>
      </c>
      <c r="K425" s="163">
        <f t="shared" ca="1" si="82"/>
        <v>85.191637630662015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175</v>
      </c>
      <c r="K426" s="201">
        <f t="shared" ca="1" si="82"/>
        <v>95.62841530054645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525</v>
      </c>
      <c r="K427" s="201">
        <f t="shared" ca="1" si="82"/>
        <v>95.62841530054645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175</v>
      </c>
      <c r="K428" s="163">
        <f t="shared" ca="1" si="82"/>
        <v>95.62841530054645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175</v>
      </c>
      <c r="K429" s="163">
        <f t="shared" ca="1" si="82"/>
        <v>95.62841530054645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418</v>
      </c>
      <c r="K430" s="201">
        <f t="shared" ca="1" si="82"/>
        <v>54.00516795865633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95</v>
      </c>
      <c r="K431" s="163">
        <f t="shared" ca="1" si="82"/>
        <v>47.5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323</v>
      </c>
      <c r="K432" s="163">
        <f t="shared" ca="1" si="82"/>
        <v>56.271777003484324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1341816.79</v>
      </c>
      <c r="O435" s="411">
        <f t="shared" ref="O435:O439" ca="1" si="83">+IF(L435&gt;0,N435*100/L435,0)</f>
        <v>64.28788760061326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1341816.79</v>
      </c>
      <c r="O437" s="168">
        <f t="shared" ca="1" si="83"/>
        <v>64.28788760061326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1341816.79</v>
      </c>
      <c r="O439" s="168">
        <f t="shared" ca="1" si="83"/>
        <v>64.28788760061326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1021373.5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320443.29000000004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401932.38</v>
      </c>
      <c r="K455" s="371">
        <f ca="1">IF(I455&gt;0,J455*100/I455,0)</f>
        <v>50.266806570301576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7887358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2577369.96</v>
      </c>
      <c r="O455" s="372">
        <f t="shared" ref="O455:O459" ca="1" si="85">+IF(L455&gt;0,N455*100/L455,0)</f>
        <v>32.677228040111785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7887358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2577369.96</v>
      </c>
      <c r="O457" s="168">
        <f t="shared" ca="1" si="85"/>
        <v>32.677228040111785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7887358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2577369.96</v>
      </c>
      <c r="O459" s="168">
        <f t="shared" ca="1" si="85"/>
        <v>32.677228040111785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737532.33000000007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1839837.63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401932.38</v>
      </c>
      <c r="K464" s="268">
        <f t="shared" ref="K464:K515" ca="1" si="86">IF(I464&gt;0,J464*100/I464,0)</f>
        <v>50.266806570301576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799652.22</v>
      </c>
      <c r="K465" s="201">
        <f t="shared" ca="1" si="86"/>
        <v>100.00678090740597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621324.86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78539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161048.07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14724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17279.29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1910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799642.6399999999</v>
      </c>
      <c r="K473" s="201">
        <f t="shared" ca="1" si="86"/>
        <v>100.00558280535968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120875.84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401932.38</v>
      </c>
      <c r="K481" s="201">
        <f t="shared" ca="1" si="86"/>
        <v>50.266806570301576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49072</v>
      </c>
      <c r="K482" s="201">
        <f t="shared" ca="1" si="86"/>
        <v>51.560841835394491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367068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46186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22983.72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1886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7544.66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745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7376.17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725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168.49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20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4336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255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17305.170000000002</v>
      </c>
      <c r="K497" s="444">
        <f t="shared" ca="1" si="86"/>
        <v>37.744656255452803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17305.170000000002</v>
      </c>
      <c r="K498" s="201">
        <f t="shared" ca="1" si="86"/>
        <v>37.744656255452803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1322</v>
      </c>
      <c r="K499" s="201">
        <f t="shared" ca="1" si="86"/>
        <v>35.385438972162738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16440.05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1241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8471.0499999999993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644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7943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596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523.12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51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457.12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41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66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10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342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30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1751.77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165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538.03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48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1050.74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115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163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417579.23999999987</v>
      </c>
      <c r="O533" s="411">
        <f t="shared" ref="O533:O537" ca="1" si="87">+IF(L533&gt;0,N533*100/L533,0)</f>
        <v>70.098915561524237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417579.23999999987</v>
      </c>
      <c r="O535" s="168">
        <f t="shared" ca="1" si="87"/>
        <v>70.098915561524237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417579.23999999987</v>
      </c>
      <c r="O537" s="168">
        <f t="shared" ca="1" si="87"/>
        <v>70.098915561524237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91205.24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3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18681</v>
      </c>
      <c r="K551" s="410">
        <f ca="1">IF(I551&gt;0,J551*100/I551,0)</f>
        <v>74.724000000000004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758975.76999999909</v>
      </c>
      <c r="O551" s="411">
        <f t="shared" ref="O551:O555" ca="1" si="89">+IF(L551&gt;0,N551*100/L551,0)</f>
        <v>49.606259477124127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758975.76999999909</v>
      </c>
      <c r="O553" s="168">
        <f t="shared" ca="1" si="89"/>
        <v>49.606259477124127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758975.76999999909</v>
      </c>
      <c r="O555" s="168">
        <f t="shared" ca="1" si="89"/>
        <v>49.606259477124127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289202.76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469773.01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18681</v>
      </c>
      <c r="K560" s="224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374.76666666666665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1943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54729</v>
      </c>
      <c r="K564" s="371">
        <f ca="1">IF(I564&gt;0,J564*100/I564,0)</f>
        <v>168.13824884792626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1246946.7699999991</v>
      </c>
      <c r="O564" s="372">
        <f t="shared" ref="O564:O568" ca="1" si="90">+IF(L564&gt;0,N564*100/L564,0)</f>
        <v>52.345214847029546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1246946.7699999991</v>
      </c>
      <c r="O566" s="168">
        <f t="shared" ca="1" si="90"/>
        <v>52.345214847029546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1246946.7699999991</v>
      </c>
      <c r="O568" s="168">
        <f t="shared" ca="1" si="90"/>
        <v>52.345214847029546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927570.17999999993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319376.58999999997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54729</v>
      </c>
      <c r="K573" s="201">
        <f ca="1">IF(I573&gt;0,J573*100/I573,0)</f>
        <v>168.13824884792626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87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5250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48588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88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803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103</v>
      </c>
      <c r="K580" s="371">
        <f ca="1">IF(I580&gt;0,J580*100/I580,0)</f>
        <v>6.0731132075471699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808238.89</v>
      </c>
      <c r="O580" s="372">
        <f t="shared" ref="O580:O584" ca="1" si="92">+IF(L580&gt;0,N580*100/L580,0)</f>
        <v>25.180381868505037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808238.89</v>
      </c>
      <c r="O582" s="168">
        <f t="shared" ca="1" si="92"/>
        <v>25.180381868505037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808238.89</v>
      </c>
      <c r="O584" s="168">
        <f t="shared" ca="1" si="92"/>
        <v>25.180381868505037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335077.58999999997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473161.3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602</v>
      </c>
      <c r="K589" s="163">
        <f t="shared" ref="K589:K596" ca="1" si="93">IF(I589&gt;0,J589*100/I589,0)</f>
        <v>35.495283018867923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448.69</v>
      </c>
      <c r="K590" s="479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350</v>
      </c>
      <c r="K591" s="163">
        <f t="shared" ca="1" si="93"/>
        <v>20.636792452830189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224.29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7</v>
      </c>
      <c r="K593" s="163">
        <f t="shared" ca="1" si="93"/>
        <v>0.41273584905660377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4.66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103</v>
      </c>
      <c r="K595" s="163">
        <f t="shared" ca="1" si="93"/>
        <v>6.0731132075471699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65.389999999999986</v>
      </c>
      <c r="K596" s="486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7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33216</v>
      </c>
      <c r="O597" s="411">
        <f t="shared" ref="O597:O601" ca="1" si="94">+IF(L597&gt;0,N597*100/L597,0)</f>
        <v>24.595335061088484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33216</v>
      </c>
      <c r="O599" s="168">
        <f t="shared" ca="1" si="94"/>
        <v>24.595335061088484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33216</v>
      </c>
      <c r="O601" s="168">
        <f t="shared" ca="1" si="94"/>
        <v>24.595335061088484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32016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1671.75</v>
      </c>
      <c r="K612" s="163">
        <f t="shared" ca="1" si="95"/>
        <v>113.72448979591837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1275.75</v>
      </c>
      <c r="K613" s="163">
        <f t="shared" ca="1" si="95"/>
        <v>86.785714285714292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399.75</v>
      </c>
      <c r="K614" s="163">
        <f t="shared" ca="1" si="95"/>
        <v>27.193877551020407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0</v>
      </c>
      <c r="K616" s="163">
        <f t="shared" ca="1" si="95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96312397.550000012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55769918.639999993</v>
      </c>
      <c r="K628" s="342">
        <f t="shared" ref="K628:K635" ca="1" si="97">IF(I628&gt;0,J628*100/I628,0)</f>
        <v>57.905233447280104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3095</v>
      </c>
      <c r="K629" s="342">
        <f t="shared" ca="1" si="97"/>
        <v>63.972715998346423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10799418.719999999</v>
      </c>
      <c r="K630" s="342">
        <f t="shared" ca="1" si="97"/>
        <v>9.6530185985896821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1900</v>
      </c>
      <c r="K631" s="342">
        <f t="shared" ca="1" si="97"/>
        <v>43.299908842297171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20831779.43</v>
      </c>
      <c r="K632" s="342">
        <f t="shared" ca="1" si="97"/>
        <v>27.24760892823333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3175</v>
      </c>
      <c r="K633" s="342">
        <f t="shared" ca="1" si="97"/>
        <v>50.189693329117929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85535000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50378000</v>
      </c>
      <c r="K634" s="342">
        <f t="shared" ca="1" si="97"/>
        <v>58.897527327994389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2565</v>
      </c>
      <c r="J635" s="504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1463</v>
      </c>
      <c r="K635" s="486">
        <f t="shared" ca="1" si="97"/>
        <v>57.037037037037038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270145</v>
      </c>
      <c r="M636" s="510"/>
      <c r="N636" s="509">
        <f ca="1">SUM(N637:N638)</f>
        <v>19450</v>
      </c>
      <c r="O636" s="509">
        <f t="shared" ref="O636:O640" ca="1" si="98">+IF(L636&gt;0,N636*100/L636,0)</f>
        <v>7.1998371245072095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98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270145</v>
      </c>
      <c r="M638" s="520"/>
      <c r="N638" s="521">
        <f ca="1">SUM(N639:N640)</f>
        <v>19450</v>
      </c>
      <c r="O638" s="521">
        <f t="shared" ca="1" si="98"/>
        <v>7.1998371245072095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98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270145</v>
      </c>
      <c r="M640" s="520"/>
      <c r="N640" s="521">
        <f ca="1">SUM(N641:N644)</f>
        <v>19450</v>
      </c>
      <c r="O640" s="521">
        <f t="shared" ca="1" si="98"/>
        <v>7.1998371245072095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19450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5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0</v>
      </c>
      <c r="K648" s="536">
        <f t="shared" ref="K648:K651" ca="1" si="99">IF(I648&gt;0,J648*100/I648,0)</f>
        <v>0</v>
      </c>
      <c r="L648" s="521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0"/>
      <c r="N648" s="537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6">
        <f t="shared" ref="O648:O651" ca="1" si="100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5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6">
        <f t="shared" ca="1" si="99"/>
        <v>0</v>
      </c>
      <c r="L649" s="521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0"/>
      <c r="N649" s="537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0</v>
      </c>
      <c r="O649" s="536">
        <f t="shared" ca="1" si="100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5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28.38</v>
      </c>
      <c r="K650" s="536">
        <f t="shared" ca="1" si="99"/>
        <v>1.4376899696048633</v>
      </c>
      <c r="L650" s="521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0"/>
      <c r="N650" s="537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0</v>
      </c>
      <c r="O650" s="536">
        <f t="shared" ca="1" si="100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5">
        <f ca="1">J657+J660</f>
        <v>820</v>
      </c>
      <c r="K651" s="536">
        <f t="shared" ca="1" si="99"/>
        <v>45.682451253481894</v>
      </c>
      <c r="L651" s="521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0"/>
      <c r="N651" s="537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1600</v>
      </c>
      <c r="O651" s="536">
        <f t="shared" ca="1" si="100"/>
        <v>3.5654596100278551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34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820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38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40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820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71</v>
      </c>
      <c r="K661" s="536"/>
      <c r="L661" s="521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0"/>
      <c r="N661" s="537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17850</v>
      </c>
      <c r="O661" s="536">
        <f ca="1">IF(L661&gt;0,N661*100/L661,0)</f>
        <v>10.683504907828585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76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5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1345.6799999999998</v>
      </c>
      <c r="K663" s="536">
        <f ca="1">IF(I663&gt;0,J663*100/I663,0)</f>
        <v>32.216423270289674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5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4</v>
      </c>
      <c r="K665" s="536">
        <f ca="1">IF(I665&gt;0,J665*100/I665,0)</f>
        <v>5.4054054054054053</v>
      </c>
      <c r="L665" s="521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0"/>
      <c r="N665" s="537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4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88.61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5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6">
        <f ca="1">IF(I668&gt;0,J668*100/I668,0)</f>
        <v>0</v>
      </c>
      <c r="L668" s="521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0"/>
      <c r="N668" s="537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5">
        <f ca="1">J674+J677</f>
        <v>0</v>
      </c>
      <c r="K671" s="536">
        <f ca="1">IF(I671&gt;0,J671*100/I671,0)</f>
        <v>0</v>
      </c>
      <c r="L671" s="521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0"/>
      <c r="N671" s="537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D297:E297"/>
    <mergeCell ref="D310:G310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21:F21"/>
    <mergeCell ref="D25:E25"/>
    <mergeCell ref="A27:G27"/>
    <mergeCell ref="D28:G28"/>
    <mergeCell ref="D31:F3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A1:P1"/>
    <mergeCell ref="A2:P2"/>
    <mergeCell ref="A3:P3"/>
    <mergeCell ref="F650:G650"/>
    <mergeCell ref="F651:G651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276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6983269</v>
      </c>
      <c r="M8" s="23">
        <f t="shared" ca="1" si="0"/>
        <v>3537427</v>
      </c>
      <c r="N8" s="23">
        <f t="shared" ca="1" si="0"/>
        <v>3471332.51</v>
      </c>
      <c r="O8" s="22">
        <f t="shared" ref="O8:O16" ca="1" si="1">IF(L8&gt;0,N8*100/L8,0)</f>
        <v>49.709276701212566</v>
      </c>
      <c r="P8" s="22">
        <f t="shared" ref="P8:P16" ca="1" si="2">IF(M8&gt;0,N8*100/M8,0)</f>
        <v>98.131565965884249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6983269</v>
      </c>
      <c r="M10" s="30">
        <f t="shared" ca="1" si="4"/>
        <v>3537427</v>
      </c>
      <c r="N10" s="30">
        <f t="shared" ca="1" si="4"/>
        <v>3471332.51</v>
      </c>
      <c r="O10" s="29">
        <f t="shared" ca="1" si="1"/>
        <v>49.709276701212566</v>
      </c>
      <c r="P10" s="29">
        <f t="shared" ca="1" si="2"/>
        <v>98.131565965884249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6908269</v>
      </c>
      <c r="M12" s="39">
        <f t="shared" ca="1" si="6"/>
        <v>3462427</v>
      </c>
      <c r="N12" s="39">
        <f t="shared" ca="1" si="6"/>
        <v>3396332.51</v>
      </c>
      <c r="O12" s="39">
        <f t="shared" ca="1" si="1"/>
        <v>49.163292714860987</v>
      </c>
      <c r="P12" s="39">
        <f t="shared" ca="1" si="2"/>
        <v>98.091093617280592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4708169</v>
      </c>
      <c r="M14" s="39">
        <f t="shared" si="8"/>
        <v>0</v>
      </c>
      <c r="N14" s="39">
        <f t="shared" ca="1" si="8"/>
        <v>724771.69</v>
      </c>
      <c r="O14" s="39">
        <f t="shared" ca="1" si="1"/>
        <v>15.393918315166681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75000</v>
      </c>
      <c r="M16" s="39">
        <f t="shared" ca="1" si="10"/>
        <v>75000</v>
      </c>
      <c r="N16" s="39">
        <f t="shared" ca="1" si="10"/>
        <v>75000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3537427</v>
      </c>
      <c r="N18" s="23">
        <f t="shared" ca="1" si="11"/>
        <v>2746560.82</v>
      </c>
      <c r="O18" s="22">
        <f t="shared" ref="O18:O20" ca="1" si="12">IF(L18&gt;0,N18*100/L18,0)</f>
        <v>64.758591729286081</v>
      </c>
      <c r="P18" s="22">
        <f t="shared" ref="P18:P26" ca="1" si="13">IF(M18&gt;0,N18*100/M18,0)</f>
        <v>77.642897507142905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3537427</v>
      </c>
      <c r="N20" s="30">
        <f t="shared" ca="1" si="15"/>
        <v>2746560.82</v>
      </c>
      <c r="O20" s="29">
        <f t="shared" ca="1" si="12"/>
        <v>64.758591729286081</v>
      </c>
      <c r="P20" s="29">
        <f t="shared" ca="1" si="13"/>
        <v>77.642897507142905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4166230</v>
      </c>
      <c r="M22" s="42">
        <f t="shared" ca="1" si="18"/>
        <v>3462427</v>
      </c>
      <c r="N22" s="39">
        <f t="shared" ca="1" si="18"/>
        <v>2671560.8199999998</v>
      </c>
      <c r="O22" s="39">
        <f t="shared" ca="1" si="17"/>
        <v>64.124179894052887</v>
      </c>
      <c r="P22" s="39">
        <f t="shared" ca="1" si="13"/>
        <v>77.158617928984484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1966130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75000</v>
      </c>
      <c r="M26" s="50">
        <f t="shared" ca="1" si="22"/>
        <v>75000</v>
      </c>
      <c r="N26" s="50">
        <f t="shared" ca="1" si="22"/>
        <v>75000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2742039</v>
      </c>
      <c r="M28" s="23">
        <f t="shared" si="23"/>
        <v>0</v>
      </c>
      <c r="N28" s="23">
        <f t="shared" ca="1" si="23"/>
        <v>724771.69</v>
      </c>
      <c r="O28" s="22">
        <f t="shared" ref="O28:O30" ca="1" si="24">IF(L28&gt;0,N28*100/L28,0)</f>
        <v>26.431851990434854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2742039</v>
      </c>
      <c r="M30" s="30">
        <f t="shared" si="27"/>
        <v>0</v>
      </c>
      <c r="N30" s="30">
        <f t="shared" ca="1" si="27"/>
        <v>724771.69</v>
      </c>
      <c r="O30" s="29">
        <f t="shared" ca="1" si="24"/>
        <v>26.431851990434854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2742039</v>
      </c>
      <c r="M32" s="39">
        <f t="shared" si="30"/>
        <v>0</v>
      </c>
      <c r="N32" s="39">
        <f t="shared" ca="1" si="30"/>
        <v>724771.69</v>
      </c>
      <c r="O32" s="39">
        <f t="shared" ca="1" si="29"/>
        <v>26.431851990434854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2742039</v>
      </c>
      <c r="M34" s="39">
        <f t="shared" si="32"/>
        <v>0</v>
      </c>
      <c r="N34" s="39">
        <f t="shared" ca="1" si="32"/>
        <v>724771.69</v>
      </c>
      <c r="O34" s="39">
        <f t="shared" ca="1" si="29"/>
        <v>26.431851990434854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4241230</v>
      </c>
      <c r="M37" s="55">
        <f t="shared" ca="1" si="33"/>
        <v>3537427</v>
      </c>
      <c r="N37" s="55">
        <f t="shared" ca="1" si="33"/>
        <v>2746560.82</v>
      </c>
      <c r="O37" s="56">
        <f t="shared" ca="1" si="29"/>
        <v>64.758591729286081</v>
      </c>
      <c r="P37" s="56">
        <f t="shared" ca="1" si="25"/>
        <v>77.642897507142905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778600</v>
      </c>
      <c r="N41" s="79">
        <f t="shared" ca="1" si="34"/>
        <v>704353.7</v>
      </c>
      <c r="O41" s="78">
        <f t="shared" ref="O41:O43" ca="1" si="35">IF(L41&gt;0,N41*100/L41,0)</f>
        <v>67.85027454002504</v>
      </c>
      <c r="P41" s="78">
        <f t="shared" ref="P41:P43" ca="1" si="36">IF(M41&gt;0,N41*100/M41,0)</f>
        <v>90.464127921911128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778600</v>
      </c>
      <c r="N43" s="79">
        <f t="shared" ca="1" si="38"/>
        <v>704353.7</v>
      </c>
      <c r="O43" s="78">
        <f t="shared" ca="1" si="35"/>
        <v>67.85027454002504</v>
      </c>
      <c r="P43" s="78">
        <f t="shared" ca="1" si="36"/>
        <v>90.464127921911128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IFERROR(__xludf.DUMMYFUNCTION("IMPORTRANGE(""https://docs.google.com/spreadsheets/d/1Yj_ptqi66GCucihVvJfMjLAmec39IyEx_6qawtMGysU/edit?usp=sharing"",""สบก!Q28"")"),778600)</f>
        <v>778600</v>
      </c>
      <c r="N45" s="50">
        <f ca="1">IFERROR(__xludf.DUMMYFUNCTION("IMPORTRANGE(""https://docs.google.com/spreadsheets/d/1Yj_ptqi66GCucihVvJfMjLAmec39IyEx_6qawtMGysU/edit?usp=sharing"",""สบก!R28"")"),704353.7)</f>
        <v>704353.7</v>
      </c>
      <c r="O45" s="39">
        <f ca="1">IF(L45&gt;0,N45*100/L45,0)</f>
        <v>67.85027454002504</v>
      </c>
      <c r="P45" s="39">
        <f ca="1">IF(M45&gt;0,N45*100/M45,0)</f>
        <v>90.464127921911128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328802</v>
      </c>
      <c r="N53" s="121">
        <f t="shared" ca="1" si="39"/>
        <v>324003.3</v>
      </c>
      <c r="O53" s="120">
        <f t="shared" ref="O53:O55" ca="1" si="40">IF(L53&gt;0,N53*100/L53,0)</f>
        <v>81.000825000000006</v>
      </c>
      <c r="P53" s="120">
        <f t="shared" ref="P53:P55" ca="1" si="41">IF(M53&gt;0,N53*100/M53,0)</f>
        <v>98.540550239962045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328802</v>
      </c>
      <c r="N55" s="121">
        <f t="shared" ca="1" si="43"/>
        <v>324003.3</v>
      </c>
      <c r="O55" s="120">
        <f t="shared" ca="1" si="40"/>
        <v>81.000825000000006</v>
      </c>
      <c r="P55" s="120">
        <f t="shared" ca="1" si="41"/>
        <v>98.540550239962045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IFERROR(__xludf.DUMMYFUNCTION("IMPORTRANGE(""https://docs.google.com/spreadsheets/d/1Yj_ptqi66GCucihVvJfMjLAmec39IyEx_6qawtMGysU/edit?usp=sharing"",""สบก!Z28"")"),328802)</f>
        <v>328802</v>
      </c>
      <c r="N57" s="50">
        <f ca="1">IFERROR(__xludf.DUMMYFUNCTION("IMPORTRANGE(""https://docs.google.com/spreadsheets/d/1Yj_ptqi66GCucihVvJfMjLAmec39IyEx_6qawtMGysU/edit?usp=sharing"",""สบก!AA28"")"),324003.3)</f>
        <v>324003.3</v>
      </c>
      <c r="O57" s="39">
        <f ca="1">IF(L57&gt;0,N57*100/L57,0)</f>
        <v>81.000825000000006</v>
      </c>
      <c r="P57" s="39">
        <f ca="1">IF(M57&gt;0,N57*100/M57,0)</f>
        <v>98.540550239962045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1706600</v>
      </c>
      <c r="M66" s="152">
        <f t="shared" ca="1" si="45"/>
        <v>1523980</v>
      </c>
      <c r="N66" s="152">
        <f t="shared" ca="1" si="45"/>
        <v>970397.18</v>
      </c>
      <c r="O66" s="151">
        <f t="shared" ref="O66:O68" ca="1" si="46">IF(L66&gt;0,N66*100/L66,0)</f>
        <v>56.861430915270127</v>
      </c>
      <c r="P66" s="151">
        <f t="shared" ref="P66:P68" ca="1" si="47">IF(M66&gt;0,N66*100/M66,0)</f>
        <v>63.67519127547606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1706600</v>
      </c>
      <c r="M68" s="88">
        <f t="shared" ca="1" si="49"/>
        <v>1523980</v>
      </c>
      <c r="N68" s="88">
        <f t="shared" ca="1" si="49"/>
        <v>970397.18</v>
      </c>
      <c r="O68" s="156">
        <f t="shared" ca="1" si="46"/>
        <v>56.861430915270127</v>
      </c>
      <c r="P68" s="156">
        <f t="shared" ca="1" si="47"/>
        <v>63.67519127547606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IFERROR(__xludf.DUMMYFUNCTION("IMPORTRANGE(""https://docs.google.com/spreadsheets/d/1Yj_ptqi66GCucihVvJfMjLAmec39IyEx_6qawtMGysU/edit?usp=sharing"",""สบก!AI28"")"),1463980)</f>
        <v>1463980</v>
      </c>
      <c r="N70" s="168">
        <f ca="1">IFERROR(__xludf.DUMMYFUNCTION("IMPORTRANGE(""https://docs.google.com/spreadsheets/d/1Yj_ptqi66GCucihVvJfMjLAmec39IyEx_6qawtMGysU/edit?usp=sharing"",""สบก!AJ28"")"),910397.18)</f>
        <v>910397.18</v>
      </c>
      <c r="O70" s="168">
        <f ca="1">IF(L70&gt;0,N70*100/L70,0)</f>
        <v>55.289516579618606</v>
      </c>
      <c r="P70" s="168">
        <f ca="1">IF(M70&gt;0,N70*100/M70,0)</f>
        <v>62.186449268432632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IFERROR(__xludf.DUMMYFUNCTION("IMPORTRANGE(""https://docs.google.com/spreadsheets/d/1Yj_ptqi66GCucihVvJfMjLAmec39IyEx_6qawtMGysU/edit?usp=sharing"",""สบก!AG28"")"),60000)</f>
        <v>60000</v>
      </c>
      <c r="M74" s="50">
        <f ca="1">L74</f>
        <v>60000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348000</v>
      </c>
      <c r="M140" s="152">
        <f t="shared" ca="1" si="64"/>
        <v>316225</v>
      </c>
      <c r="N140" s="152">
        <f t="shared" ca="1" si="64"/>
        <v>210475.55</v>
      </c>
      <c r="O140" s="151">
        <f t="shared" ref="O140:O142" ca="1" si="65">IF(L140&gt;0,N140*100/L140,0)</f>
        <v>60.481479885057475</v>
      </c>
      <c r="P140" s="151">
        <f t="shared" ref="P140:P142" ca="1" si="66">IF(M140&gt;0,N140*100/M140,0)</f>
        <v>66.558795161672862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348000</v>
      </c>
      <c r="M142" s="88">
        <f t="shared" ca="1" si="68"/>
        <v>316225</v>
      </c>
      <c r="N142" s="88">
        <f t="shared" ca="1" si="68"/>
        <v>210475.55</v>
      </c>
      <c r="O142" s="156">
        <f t="shared" ca="1" si="65"/>
        <v>60.481479885057475</v>
      </c>
      <c r="P142" s="156">
        <f t="shared" ca="1" si="66"/>
        <v>66.558795161672862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IFERROR(__xludf.DUMMYFUNCTION("IMPORTRANGE(""https://docs.google.com/spreadsheets/d/1Yj_ptqi66GCucihVvJfMjLAmec39IyEx_6qawtMGysU/edit?usp=sharing"",""สบก!BJ28"")"),316225)</f>
        <v>316225</v>
      </c>
      <c r="N144" s="168">
        <f ca="1">IFERROR(__xludf.DUMMYFUNCTION("IMPORTRANGE(""https://docs.google.com/spreadsheets/d/1Yj_ptqi66GCucihVvJfMjLAmec39IyEx_6qawtMGysU/edit?usp=sharing"",""สบก!BK28"")"),210475.55)</f>
        <v>210475.55</v>
      </c>
      <c r="O144" s="168">
        <f ca="1">IF(L144&gt;0,N144*100/L144,0)</f>
        <v>60.481479885057475</v>
      </c>
      <c r="P144" s="168">
        <f ca="1">IF(M144&gt;0,N144*100/M144,0)</f>
        <v>66.558795161672862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IFERROR(__xludf.DUMMYFUNCTION("IMPORTRANGE(""https://docs.google.com/spreadsheets/d/11923uPwbBZFjjGgGUA6NLw09EwE0CqkOc4q9oUmW1yo/edit?usp=sharing"",""พิษณุโลก!J84"")"),127)</f>
        <v>127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IFERROR(__xludf.DUMMYFUNCTION("IMPORTRANGE(""https://docs.google.com/spreadsheets/d/11923uPwbBZFjjGgGUA6NLw09EwE0CqkOc4q9oUmW1yo/edit?usp=sharing"",""พิษณุโลก!J85"")"),127)</f>
        <v>127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26320</v>
      </c>
      <c r="O271" s="151">
        <f t="shared" ref="O271:O273" ca="1" si="84">IF(L271&gt;0,N271*100/L271,0)</f>
        <v>47.681159420289852</v>
      </c>
      <c r="P271" s="151">
        <f t="shared" ref="P271:P273" ca="1" si="85">IF(M271&gt;0,N271*100/M271,0)</f>
        <v>81.612403100775197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26320</v>
      </c>
      <c r="O273" s="156">
        <f t="shared" ca="1" si="84"/>
        <v>47.681159420289852</v>
      </c>
      <c r="P273" s="156">
        <f t="shared" ca="1" si="85"/>
        <v>81.612403100775197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IFERROR(__xludf.DUMMYFUNCTION("IMPORTRANGE(""https://docs.google.com/spreadsheets/d/1Yj_ptqi66GCucihVvJfMjLAmec39IyEx_6qawtMGysU/edit?usp=sharing"",""สบก!CK28"")"),32250)</f>
        <v>32250</v>
      </c>
      <c r="N275" s="168">
        <f ca="1">IFERROR(__xludf.DUMMYFUNCTION("IMPORTRANGE(""https://docs.google.com/spreadsheets/d/1Yj_ptqi66GCucihVvJfMjLAmec39IyEx_6qawtMGysU/edit?usp=sharing"",""สบก!CL28"")"),26320)</f>
        <v>26320</v>
      </c>
      <c r="O275" s="168">
        <f ca="1">IF(L275&gt;0,N275*100/L275,0)</f>
        <v>47.681159420289852</v>
      </c>
      <c r="P275" s="168">
        <f ca="1">IF(M275&gt;0,N275*100/M275,0)</f>
        <v>81.612403100775197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IFERROR(__xludf.DUMMYFUNCTION("IMPORTRANGE(""https://docs.google.com/spreadsheets/d/11923uPwbBZFjjGgGUA6NLw09EwE0CqkOc4q9oUmW1yo/edit?usp=sharing"",""พิษณุโลก!J228"")"),153)</f>
        <v>153</v>
      </c>
      <c r="K328" s="317">
        <f ca="1">IF(I328&gt;0,J328*100/I328,0)</f>
        <v>69.545454545454547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557570</v>
      </c>
      <c r="N329" s="152">
        <f t="shared" ca="1" si="98"/>
        <v>511011.09</v>
      </c>
      <c r="O329" s="151">
        <f t="shared" ref="O329:O331" ca="1" si="99">IF(L329&gt;0,N329*100/L329,0)</f>
        <v>73.703876941716061</v>
      </c>
      <c r="P329" s="151">
        <f t="shared" ref="P329:P331" ca="1" si="100">IF(M329&gt;0,N329*100/M329,0)</f>
        <v>91.649674480334312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557570</v>
      </c>
      <c r="N331" s="88">
        <f t="shared" ca="1" si="102"/>
        <v>511011.09</v>
      </c>
      <c r="O331" s="156">
        <f t="shared" ca="1" si="99"/>
        <v>73.703876941716061</v>
      </c>
      <c r="P331" s="156">
        <f t="shared" ca="1" si="100"/>
        <v>91.649674480334312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IFERROR(__xludf.DUMMYFUNCTION("IMPORTRANGE(""https://docs.google.com/spreadsheets/d/1Yj_ptqi66GCucihVvJfMjLAmec39IyEx_6qawtMGysU/edit?usp=sharing"",""สบก!DL28"")"),542570)</f>
        <v>542570</v>
      </c>
      <c r="N333" s="168">
        <f ca="1">IFERROR(__xludf.DUMMYFUNCTION("IMPORTRANGE(""https://docs.google.com/spreadsheets/d/1Yj_ptqi66GCucihVvJfMjLAmec39IyEx_6qawtMGysU/edit?usp=sharing"",""สบก!DM28"")"),496011.09)</f>
        <v>496011.09</v>
      </c>
      <c r="O333" s="168">
        <f ca="1">IF(L333&gt;0,N333*100/L333,0)</f>
        <v>73.122387333598695</v>
      </c>
      <c r="P333" s="168">
        <f ca="1">IF(M333&gt;0,N333*100/M333,0)</f>
        <v>91.418819691468386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IFERROR(__xludf.DUMMYFUNCTION("IMPORTRANGE(""https://docs.google.com/spreadsheets/d/11923uPwbBZFjjGgGUA6NLw09EwE0CqkOc4q9oUmW1yo/edit?usp=sharing"",""พิษณุโลก!J234"")"),213)</f>
        <v>213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IFERROR(__xludf.DUMMYFUNCTION("IMPORTRANGE(""https://docs.google.com/spreadsheets/d/11923uPwbBZFjjGgGUA6NLw09EwE0CqkOc4q9oUmW1yo/edit?usp=sharing"",""พิษณุโลก!J235"")"),2133.54)</f>
        <v>2133.54</v>
      </c>
      <c r="K340" s="342">
        <f t="shared" ca="1" si="103"/>
        <v>104.58529411764705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IFERROR(__xludf.DUMMYFUNCTION("IMPORTRANGE(""https://docs.google.com/spreadsheets/d/11923uPwbBZFjjGgGUA6NLw09EwE0CqkOc4q9oUmW1yo/edit?usp=sharing"",""พิษณุโลก!J236"")"),273)</f>
        <v>273</v>
      </c>
      <c r="K341" s="342">
        <f t="shared" ca="1" si="103"/>
        <v>124.09090909090909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IFERROR(__xludf.DUMMYFUNCTION("IMPORTRANGE(""https://docs.google.com/spreadsheets/d/11923uPwbBZFjjGgGUA6NLw09EwE0CqkOc4q9oUmW1yo/edit?usp=sharing"",""พิษณุโลก!J237"")"),3036.25)</f>
        <v>3036.25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IFERROR(__xludf.DUMMYFUNCTION("IMPORTRANGE(""https://docs.google.com/spreadsheets/d/11923uPwbBZFjjGgGUA6NLw09EwE0CqkOc4q9oUmW1yo/edit?usp=sharing"",""พิษณุโลก!J238"")"),14)</f>
        <v>14</v>
      </c>
      <c r="K343" s="342">
        <f t="shared" ca="1" si="103"/>
        <v>6.3636363636363633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IFERROR(__xludf.DUMMYFUNCTION("IMPORTRANGE(""https://docs.google.com/spreadsheets/d/11923uPwbBZFjjGgGUA6NLw09EwE0CqkOc4q9oUmW1yo/edit?usp=sharing"",""พิษณุโลก!J239"")"),94.01)</f>
        <v>94.01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IFERROR(__xludf.DUMMYFUNCTION("IMPORTRANGE(""https://docs.google.com/spreadsheets/d/11923uPwbBZFjjGgGUA6NLw09EwE0CqkOc4q9oUmW1yo/edit?usp=sharing"",""พิษณุโลก!J240"")"),153)</f>
        <v>153</v>
      </c>
      <c r="K345" s="342">
        <f t="shared" ca="1" si="103"/>
        <v>69.545454545454547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IFERROR(__xludf.DUMMYFUNCTION("IMPORTRANGE(""https://docs.google.com/spreadsheets/d/11923uPwbBZFjjGgGUA6NLw09EwE0CqkOc4q9oUmW1yo/edit?usp=sharing"",""พิษณุโลก!J241"")"),1596.17999999999)</f>
        <v>1596.1799999999901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IFERROR(__xludf.DUMMYFUNCTION("IMPORTRANGE(""https://docs.google.com/spreadsheets/d/11923uPwbBZFjjGgGUA6NLw09EwE0CqkOc4q9oUmW1yo/edit?usp=sharing"",""พิษณุโลก!L242"")"),2742039)</f>
        <v>2742039</v>
      </c>
      <c r="M347" s="357"/>
      <c r="N347" s="357">
        <f ca="1">IFERROR(__xludf.DUMMYFUNCTION("IMPORTRANGE(""https://docs.google.com/spreadsheets/d/11923uPwbBZFjjGgGUA6NLw09EwE0CqkOc4q9oUmW1yo/edit?usp=sharing"",""พิษณุโลก!M242"")"),724771.69)</f>
        <v>724771.69</v>
      </c>
      <c r="O347" s="357">
        <f ca="1">+IF(L347&gt;0,N347*100/L347,0)</f>
        <v>26.431851990434854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IFERROR(__xludf.DUMMYFUNCTION("IMPORTRANGE(""https://docs.google.com/spreadsheets/d/11923uPwbBZFjjGgGUA6NLw09EwE0CqkOc4q9oUmW1yo/edit?usp=sharing"",""พิษณุโลก!M275"")"),225320.09)</f>
        <v>225320.09</v>
      </c>
      <c r="O380" s="372">
        <f ca="1">+IF(L380&gt;0,N380*100/L380,0)</f>
        <v>21.907215221872203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IFERROR(__xludf.DUMMYFUNCTION("IMPORTRANGE(""https://docs.google.com/spreadsheets/d/11923uPwbBZFjjGgGUA6NLw09EwE0CqkOc4q9oUmW1yo/edit?usp=sharing"",""พิษณุโลก!M278"")"),225320.09)</f>
        <v>225320.09</v>
      </c>
      <c r="O383" s="165">
        <f t="shared" ca="1" si="109"/>
        <v>21.907215221872203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IFERROR(__xludf.DUMMYFUNCTION("IMPORTRANGE(""https://docs.google.com/spreadsheets/d/11923uPwbBZFjjGgGUA6NLw09EwE0CqkOc4q9oUmW1yo/edit?usp=sharing"",""พิษณุโลก!M280"")"),225320.09)</f>
        <v>225320.09</v>
      </c>
      <c r="O385" s="168">
        <f t="shared" ca="1" si="109"/>
        <v>21.907215221872203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IFERROR(__xludf.DUMMYFUNCTION("IMPORTRANGE(""https://docs.google.com/spreadsheets/d/11923uPwbBZFjjGgGUA6NLw09EwE0CqkOc4q9oUmW1yo/edit?usp=sharing"",""พิษณุโลก!M283"")"),64900.09)</f>
        <v>64900.09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IFERROR(__xludf.DUMMYFUNCTION("IMPORTRANGE(""https://docs.google.com/spreadsheets/d/11923uPwbBZFjjGgGUA6NLw09EwE0CqkOc4q9oUmW1yo/edit?usp=sharing"",""พิษณุโลก!M284"")"),5400)</f>
        <v>5400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IFERROR(__xludf.DUMMYFUNCTION("IMPORTRANGE(""https://docs.google.com/spreadsheets/d/11923uPwbBZFjjGgGUA6NLw09EwE0CqkOc4q9oUmW1yo/edit?usp=sharing"",""พิษณุโลก!M296"")"),91016)</f>
        <v>91016</v>
      </c>
      <c r="O401" s="372">
        <f ca="1">+IF(L401&gt;0,N401*100/L401,0)</f>
        <v>36.071655041217504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IFERROR(__xludf.DUMMYFUNCTION("IMPORTRANGE(""https://docs.google.com/spreadsheets/d/11923uPwbBZFjjGgGUA6NLw09EwE0CqkOc4q9oUmW1yo/edit?usp=sharing"",""พิษณุโลก!M299"")"),91016)</f>
        <v>91016</v>
      </c>
      <c r="O404" s="168">
        <f t="shared" ca="1" si="112"/>
        <v>36.071655041217504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IFERROR(__xludf.DUMMYFUNCTION("IMPORTRANGE(""https://docs.google.com/spreadsheets/d/11923uPwbBZFjjGgGUA6NLw09EwE0CqkOc4q9oUmW1yo/edit?usp=sharing"",""พิษณุโลก!M301"")"),91016)</f>
        <v>91016</v>
      </c>
      <c r="O406" s="168">
        <f t="shared" ca="1" si="112"/>
        <v>36.071655041217504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IFERROR(__xludf.DUMMYFUNCTION("IMPORTRANGE(""https://docs.google.com/spreadsheets/d/11923uPwbBZFjjGgGUA6NLw09EwE0CqkOc4q9oUmW1yo/edit?usp=sharing"",""พิษณุโลก!M302"")"),90276)</f>
        <v>90276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IFERROR(__xludf.DUMMYFUNCTION("IMPORTRANGE(""https://docs.google.com/spreadsheets/d/11923uPwbBZFjjGgGUA6NLw09EwE0CqkOc4q9oUmW1yo/edit?usp=sharing"",""พิษณุโลก!M305"")"),740)</f>
        <v>740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IFERROR(__xludf.DUMMYFUNCTION("IMPORTRANGE(""https://docs.google.com/spreadsheets/d/11923uPwbBZFjjGgGUA6NLw09EwE0CqkOc4q9oUmW1yo/edit?usp=sharing"",""พิษณุโลก!M330"")"),15915)</f>
        <v>15915</v>
      </c>
      <c r="O435" s="411">
        <f t="shared" ref="O435:O439" ca="1" si="114">+IF(L435&gt;0,N435*100/L435,0)</f>
        <v>15.914999999999999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IFERROR(__xludf.DUMMYFUNCTION("IMPORTRANGE(""https://docs.google.com/spreadsheets/d/11923uPwbBZFjjGgGUA6NLw09EwE0CqkOc4q9oUmW1yo/edit?usp=sharing"",""พิษณุโลก!M332"")"),15915)</f>
        <v>15915</v>
      </c>
      <c r="O437" s="168">
        <f t="shared" ca="1" si="114"/>
        <v>15.914999999999999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IFERROR(__xludf.DUMMYFUNCTION("IMPORTRANGE(""https://docs.google.com/spreadsheets/d/11923uPwbBZFjjGgGUA6NLw09EwE0CqkOc4q9oUmW1yo/edit?usp=sharing"",""พิษณุโลก!M334"")"),15915)</f>
        <v>15915</v>
      </c>
      <c r="O439" s="168">
        <f t="shared" ca="1" si="114"/>
        <v>15.914999999999999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IFERROR(__xludf.DUMMYFUNCTION("IMPORTRANGE(""https://docs.google.com/spreadsheets/d/11923uPwbBZFjjGgGUA6NLw09EwE0CqkOc4q9oUmW1yo/edit?usp=sharing"",""พิษณุโลก!M335"")"),6860)</f>
        <v>6860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IFERROR(__xludf.DUMMYFUNCTION("IMPORTRANGE(""https://docs.google.com/spreadsheets/d/11923uPwbBZFjjGgGUA6NLw09EwE0CqkOc4q9oUmW1yo/edit?usp=sharing"",""พิษณุโลก!M338"")"),9055)</f>
        <v>9055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IFERROR(__xludf.DUMMYFUNCTION("IMPORTRANGE(""https://docs.google.com/spreadsheets/d/11923uPwbBZFjjGgGUA6NLw09EwE0CqkOc4q9oUmW1yo/edit?usp=sharing"",""พิษณุโลก!J350"")"),55156)</f>
        <v>55156</v>
      </c>
      <c r="K455" s="371">
        <f ca="1">IF(I455&gt;0,J455*100/I455,0)</f>
        <v>87.366153456250402</v>
      </c>
      <c r="L455" s="372">
        <f ca="1">IFERROR(__xludf.DUMMYFUNCTION("IMPORTRANGE(""https://docs.google.com/spreadsheets/d/11923uPwbBZFjjGgGUA6NLw09EwE0CqkOc4q9oUmW1yo/edit?usp=sharing"",""พิษณุโลก!L350"")"),516245)</f>
        <v>516245</v>
      </c>
      <c r="M455" s="372"/>
      <c r="N455" s="372">
        <f ca="1">IFERROR(__xludf.DUMMYFUNCTION("IMPORTRANGE(""https://docs.google.com/spreadsheets/d/11923uPwbBZFjjGgGUA6NLw09EwE0CqkOc4q9oUmW1yo/edit?usp=sharing"",""พิษณุโลก!M350"")"),152604.58)</f>
        <v>152604.57999999999</v>
      </c>
      <c r="O455" s="372">
        <f t="shared" ref="O455:O459" ca="1" si="116">+IF(L455&gt;0,N455*100/L455,0)</f>
        <v>29.560495501167079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IFERROR(__xludf.DUMMYFUNCTION("IMPORTRANGE(""https://docs.google.com/spreadsheets/d/11923uPwbBZFjjGgGUA6NLw09EwE0CqkOc4q9oUmW1yo/edit?usp=sharing"",""พิษณุโลก!L352"")"),516245)</f>
        <v>516245</v>
      </c>
      <c r="M457" s="165"/>
      <c r="N457" s="168">
        <f ca="1">IFERROR(__xludf.DUMMYFUNCTION("IMPORTRANGE(""https://docs.google.com/spreadsheets/d/11923uPwbBZFjjGgGUA6NLw09EwE0CqkOc4q9oUmW1yo/edit?usp=sharing"",""พิษณุโลก!M352"")"),152604.58)</f>
        <v>152604.57999999999</v>
      </c>
      <c r="O457" s="168">
        <f t="shared" ca="1" si="116"/>
        <v>29.560495501167079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IFERROR(__xludf.DUMMYFUNCTION("IMPORTRANGE(""https://docs.google.com/spreadsheets/d/11923uPwbBZFjjGgGUA6NLw09EwE0CqkOc4q9oUmW1yo/edit?usp=sharing"",""พิษณุโลก!L354"")"),516245)</f>
        <v>516245</v>
      </c>
      <c r="M459" s="168"/>
      <c r="N459" s="168">
        <f ca="1">IFERROR(__xludf.DUMMYFUNCTION("IMPORTRANGE(""https://docs.google.com/spreadsheets/d/11923uPwbBZFjjGgGUA6NLw09EwE0CqkOc4q9oUmW1yo/edit?usp=sharing"",""พิษณุโลก!M354"")"),152604.58)</f>
        <v>152604.57999999999</v>
      </c>
      <c r="O459" s="168">
        <f t="shared" ca="1" si="116"/>
        <v>29.560495501167079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IFERROR(__xludf.DUMMYFUNCTION("IMPORTRANGE(""https://docs.google.com/spreadsheets/d/11923uPwbBZFjjGgGUA6NLw09EwE0CqkOc4q9oUmW1yo/edit?usp=sharing"",""พิษณุโลก!M357"")"),64178.58)</f>
        <v>64178.58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IFERROR(__xludf.DUMMYFUNCTION("IMPORTRANGE(""https://docs.google.com/spreadsheets/d/11923uPwbBZFjjGgGUA6NLw09EwE0CqkOc4q9oUmW1yo/edit?usp=sharing"",""พิษณุโลก!M358"")"),88426)</f>
        <v>88426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IFERROR(__xludf.DUMMYFUNCTION("IMPORTRANGE(""https://docs.google.com/spreadsheets/d/11923uPwbBZFjjGgGUA6NLw09EwE0CqkOc4q9oUmW1yo/edit?usp=sharing"",""พิษณุโลก!J359"")"),55156)</f>
        <v>55156</v>
      </c>
      <c r="K464" s="268">
        <f t="shared" ref="K464:K515" ca="1" si="117">IF(I464&gt;0,J464*100/I464,0)</f>
        <v>87.366153456250402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IFERROR(__xludf.DUMMYFUNCTION("IMPORTRANGE(""https://docs.google.com/spreadsheets/d/11923uPwbBZFjjGgGUA6NLw09EwE0CqkOc4q9oUmW1yo/edit?usp=sharing"",""พิษณุโลก!J376"")"),55156)</f>
        <v>55156</v>
      </c>
      <c r="K481" s="201">
        <f t="shared" ca="1" si="117"/>
        <v>87.366153456250402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IFERROR(__xludf.DUMMYFUNCTION("IMPORTRANGE(""https://docs.google.com/spreadsheets/d/11923uPwbBZFjjGgGUA6NLw09EwE0CqkOc4q9oUmW1yo/edit?usp=sharing"",""พิษณุโลก!J377"")"),5153)</f>
        <v>5153</v>
      </c>
      <c r="K482" s="163">
        <f t="shared" ca="1" si="117"/>
        <v>91.365248226950357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IFERROR(__xludf.DUMMYFUNCTION("IMPORTRANGE(""https://docs.google.com/spreadsheets/d/11923uPwbBZFjjGgGUA6NLw09EwE0CqkOc4q9oUmW1yo/edit?usp=sharing"",""พิษณุโลก!J378"")"),54282)</f>
        <v>54282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IFERROR(__xludf.DUMMYFUNCTION("IMPORTRANGE(""https://docs.google.com/spreadsheets/d/11923uPwbBZFjjGgGUA6NLw09EwE0CqkOc4q9oUmW1yo/edit?usp=sharing"",""พิษณุโลก!J379"")"),5057)</f>
        <v>5057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IFERROR(__xludf.DUMMYFUNCTION("IMPORTRANGE(""https://docs.google.com/spreadsheets/d/11923uPwbBZFjjGgGUA6NLw09EwE0CqkOc4q9oUmW1yo/edit?usp=sharing"",""พิษณุโลก!J382"")"),874)</f>
        <v>874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IFERROR(__xludf.DUMMYFUNCTION("IMPORTRANGE(""https://docs.google.com/spreadsheets/d/11923uPwbBZFjjGgGUA6NLw09EwE0CqkOc4q9oUmW1yo/edit?usp=sharing"",""พิษณุโลก!J383"")"),96)</f>
        <v>96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IFERROR(__xludf.DUMMYFUNCTION("IMPORTRANGE(""https://docs.google.com/spreadsheets/d/11923uPwbBZFjjGgGUA6NLw09EwE0CqkOc4q9oUmW1yo/edit?usp=sharing"",""พิษณุโลก!J384"")"),874)</f>
        <v>874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IFERROR(__xludf.DUMMYFUNCTION("IMPORTRANGE(""https://docs.google.com/spreadsheets/d/11923uPwbBZFjjGgGUA6NLw09EwE0CqkOc4q9oUmW1yo/edit?usp=sharing"",""พิษณุโลก!J385"")"),96)</f>
        <v>96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IFERROR(__xludf.DUMMYFUNCTION("IMPORTRANGE(""https://docs.google.com/spreadsheets/d/11923uPwbBZFjjGgGUA6NLw09EwE0CqkOc4q9oUmW1yo/edit?usp=sharing"",""พิษณุโลก!J392"")"),1066)</f>
        <v>1066</v>
      </c>
      <c r="K497" s="444">
        <f t="shared" ca="1" si="117"/>
        <v>60.090191657271703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IFERROR(__xludf.DUMMYFUNCTION("IMPORTRANGE(""https://docs.google.com/spreadsheets/d/11923uPwbBZFjjGgGUA6NLw09EwE0CqkOc4q9oUmW1yo/edit?usp=sharing"",""พิษณุโลก!J393"")"),1066)</f>
        <v>1066</v>
      </c>
      <c r="K498" s="201">
        <f t="shared" ca="1" si="117"/>
        <v>60.090191657271703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IFERROR(__xludf.DUMMYFUNCTION("IMPORTRANGE(""https://docs.google.com/spreadsheets/d/11923uPwbBZFjjGgGUA6NLw09EwE0CqkOc4q9oUmW1yo/edit?usp=sharing"",""พิษณุโลก!J394"")"),67)</f>
        <v>67</v>
      </c>
      <c r="K499" s="201">
        <f t="shared" ca="1" si="117"/>
        <v>63.20754716981132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IFERROR(__xludf.DUMMYFUNCTION("IMPORTRANGE(""https://docs.google.com/spreadsheets/d/11923uPwbBZFjjGgGUA6NLw09EwE0CqkOc4q9oUmW1yo/edit?usp=sharing"",""พิษณุโลก!J395"")"),960)</f>
        <v>960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IFERROR(__xludf.DUMMYFUNCTION("IMPORTRANGE(""https://docs.google.com/spreadsheets/d/11923uPwbBZFjjGgGUA6NLw09EwE0CqkOc4q9oUmW1yo/edit?usp=sharing"",""พิษณุโลก!J396"")"),63)</f>
        <v>63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85.556202679091442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85.556202679091442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85.556202679091442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IFERROR(__xludf.DUMMYFUNCTION("IMPORTRANGE(""https://docs.google.com/spreadsheets/d/11923uPwbBZFjjGgGUA6NLw09EwE0CqkOc4q9oUmW1yo/edit?usp=sharing"",""พิษณุโลก!J446"")"),5997)</f>
        <v>5997</v>
      </c>
      <c r="K551" s="410">
        <f ca="1">IF(I551&gt;0,J551*100/I551,0)</f>
        <v>66.63333333333334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IFERROR(__xludf.DUMMYFUNCTION("IMPORTRANGE(""https://docs.google.com/spreadsheets/d/11923uPwbBZFjjGgGUA6NLw09EwE0CqkOc4q9oUmW1yo/edit?usp=sharing"",""พิษณุโลก!M446"")"),169287.76)</f>
        <v>169287.76</v>
      </c>
      <c r="O551" s="411">
        <f t="shared" ref="O551:O555" ca="1" si="120">+IF(L551&gt;0,N551*100/L551,0)</f>
        <v>31.701827715355805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IFERROR(__xludf.DUMMYFUNCTION("IMPORTRANGE(""https://docs.google.com/spreadsheets/d/11923uPwbBZFjjGgGUA6NLw09EwE0CqkOc4q9oUmW1yo/edit?usp=sharing"",""พิษณุโลก!M448"")"),169287.76)</f>
        <v>169287.76</v>
      </c>
      <c r="O553" s="168">
        <f t="shared" ca="1" si="120"/>
        <v>31.701827715355805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IFERROR(__xludf.DUMMYFUNCTION("IMPORTRANGE(""https://docs.google.com/spreadsheets/d/11923uPwbBZFjjGgGUA6NLw09EwE0CqkOc4q9oUmW1yo/edit?usp=sharing"",""พิษณุโลก!M450"")"),169287.76)</f>
        <v>169287.76</v>
      </c>
      <c r="O555" s="168">
        <f t="shared" ca="1" si="120"/>
        <v>31.701827715355805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IFERROR(__xludf.DUMMYFUNCTION("IMPORTRANGE(""https://docs.google.com/spreadsheets/d/11923uPwbBZFjjGgGUA6NLw09EwE0CqkOc4q9oUmW1yo/edit?usp=sharing"",""พิษณุโลก!M453"")"),123367.76)</f>
        <v>123367.76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IFERROR(__xludf.DUMMYFUNCTION("IMPORTRANGE(""https://docs.google.com/spreadsheets/d/11923uPwbBZFjjGgGUA6NLw09EwE0CqkOc4q9oUmW1yo/edit?usp=sharing"",""พิษณุโลก!M454"")"),45920)</f>
        <v>45920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IFERROR(__xludf.DUMMYFUNCTION("IMPORTRANGE(""https://docs.google.com/spreadsheets/d/11923uPwbBZFjjGgGUA6NLw09EwE0CqkOc4q9oUmW1yo/edit?usp=sharing"",""พิษณุโลก!J455"")"),5997)</f>
        <v>5997</v>
      </c>
      <c r="K560" s="224">
        <f t="shared" ref="K560:K561" ca="1" si="121">IF(I560&gt;0,J560*100/I560,0)</f>
        <v>66.63333333333334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IFERROR(__xludf.DUMMYFUNCTION("IMPORTRANGE(""https://docs.google.com/spreadsheets/d/11923uPwbBZFjjGgGUA6NLw09EwE0CqkOc4q9oUmW1yo/edit?usp=sharing"",""พิษณุโลก!J456"")"),409)</f>
        <v>409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IFERROR(__xludf.DUMMYFUNCTION("IMPORTRANGE(""https://docs.google.com/spreadsheets/d/11923uPwbBZFjjGgGUA6NLw09EwE0CqkOc4q9oUmW1yo/edit?usp=sharing"",""พิษณุโลก!J459"")"),2669)</f>
        <v>2669</v>
      </c>
      <c r="K564" s="371">
        <f ca="1">IF(I564&gt;0,J564*100/I564,0)</f>
        <v>177.93333333333334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IFERROR(__xludf.DUMMYFUNCTION("IMPORTRANGE(""https://docs.google.com/spreadsheets/d/11923uPwbBZFjjGgGUA6NLw09EwE0CqkOc4q9oUmW1yo/edit?usp=sharing"",""พิษณุโลก!M459"")"),39628.26)</f>
        <v>39628.26</v>
      </c>
      <c r="O564" s="372">
        <f t="shared" ref="O564:O568" ca="1" si="122">+IF(L564&gt;0,N564*100/L564,0)</f>
        <v>27.473835274542431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IFERROR(__xludf.DUMMYFUNCTION("IMPORTRANGE(""https://docs.google.com/spreadsheets/d/11923uPwbBZFjjGgGUA6NLw09EwE0CqkOc4q9oUmW1yo/edit?usp=sharing"",""พิษณุโลก!M461"")"),39628.26)</f>
        <v>39628.26</v>
      </c>
      <c r="O566" s="168">
        <f t="shared" ca="1" si="122"/>
        <v>27.473835274542431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IFERROR(__xludf.DUMMYFUNCTION("IMPORTRANGE(""https://docs.google.com/spreadsheets/d/11923uPwbBZFjjGgGUA6NLw09EwE0CqkOc4q9oUmW1yo/edit?usp=sharing"",""พิษณุโลก!M463"")"),39628.26)</f>
        <v>39628.26</v>
      </c>
      <c r="O568" s="168">
        <f t="shared" ca="1" si="122"/>
        <v>27.473835274542431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IFERROR(__xludf.DUMMYFUNCTION("IMPORTRANGE(""https://docs.google.com/spreadsheets/d/11923uPwbBZFjjGgGUA6NLw09EwE0CqkOc4q9oUmW1yo/edit?usp=sharing"",""พิษณุโลก!M466"")"),38128.26)</f>
        <v>38128.26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IFERROR(__xludf.DUMMYFUNCTION("IMPORTRANGE(""https://docs.google.com/spreadsheets/d/11923uPwbBZFjjGgGUA6NLw09EwE0CqkOc4q9oUmW1yo/edit?usp=sharing"",""พิษณุโลก!J468"")"),2669)</f>
        <v>2669</v>
      </c>
      <c r="K573" s="201">
        <f ca="1">IF(I573&gt;0,J573*100/I573,0)</f>
        <v>177.93333333333334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IFERROR(__xludf.DUMMYFUNCTION("IMPORTRANGE(""https://docs.google.com/spreadsheets/d/11923uPwbBZFjjGgGUA6NLw09EwE0CqkOc4q9oUmW1yo/edit?usp=sharing"",""พิษณุโลก!J471"")"),338)</f>
        <v>338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IFERROR(__xludf.DUMMYFUNCTION("IMPORTRANGE(""https://docs.google.com/spreadsheets/d/11923uPwbBZFjjGgGUA6NLw09EwE0CqkOc4q9oUmW1yo/edit?usp=sharing"",""พิษณุโลก!J472"")"),2317)</f>
        <v>2317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IFERROR(__xludf.DUMMYFUNCTION("IMPORTRANGE(""https://docs.google.com/spreadsheets/d/11923uPwbBZFjjGgGUA6NLw09EwE0CqkOc4q9oUmW1yo/edit?usp=sharing"",""พิษณุโลก!J473"")"),14)</f>
        <v>14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IFERROR(__xludf.DUMMYFUNCTION("IMPORTRANGE(""https://docs.google.com/spreadsheets/d/11923uPwbBZFjjGgGUA6NLw09EwE0CqkOc4q9oUmW1yo/edit?usp=sharing"",""พิษณุโลก!M475"")"),1220)</f>
        <v>1220</v>
      </c>
      <c r="O580" s="372">
        <f t="shared" ref="O580:O584" ca="1" si="124">+IF(L580&gt;0,N580*100/L580,0)</f>
        <v>0.95443735135811736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IFERROR(__xludf.DUMMYFUNCTION("IMPORTRANGE(""https://docs.google.com/spreadsheets/d/11923uPwbBZFjjGgGUA6NLw09EwE0CqkOc4q9oUmW1yo/edit?usp=sharing"",""พิษณุโลก!M477"")"),1220)</f>
        <v>1220</v>
      </c>
      <c r="O582" s="168">
        <f t="shared" ca="1" si="124"/>
        <v>0.95443735135811736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IFERROR(__xludf.DUMMYFUNCTION("IMPORTRANGE(""https://docs.google.com/spreadsheets/d/11923uPwbBZFjjGgGUA6NLw09EwE0CqkOc4q9oUmW1yo/edit?usp=sharing"",""พิษณุโลก!M479"")"),1220)</f>
        <v>1220</v>
      </c>
      <c r="O584" s="168">
        <f t="shared" ca="1" si="124"/>
        <v>0.95443735135811736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IFERROR(__xludf.DUMMYFUNCTION("IMPORTRANGE(""https://docs.google.com/spreadsheets/d/11923uPwbBZFjjGgGUA6NLw09EwE0CqkOc4q9oUmW1yo/edit?usp=sharing"",""พิษณุโลก!M483"")"),1220)</f>
        <v>1220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IFERROR(__xludf.DUMMYFUNCTION("IMPORTRANGE(""https://docs.google.com/spreadsheets/d/11923uPwbBZFjjGgGUA6NLw09EwE0CqkOc4q9oUmW1yo/edit?usp=sharing"",""พิษณุโลก!J484"")"),5)</f>
        <v>5</v>
      </c>
      <c r="K589" s="163">
        <f t="shared" ref="K589:K596" ca="1" si="125">IF(I589&gt;0,J589*100/I589,0)</f>
        <v>20.833333333333332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IFERROR(__xludf.DUMMYFUNCTION("IMPORTRANGE(""https://docs.google.com/spreadsheets/d/11923uPwbBZFjjGgGUA6NLw09EwE0CqkOc4q9oUmW1yo/edit?usp=sharing"",""พิษณุโลก!J485"")"),28.33)</f>
        <v>28.33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IFERROR(__xludf.DUMMYFUNCTION("IMPORTRANGE(""https://docs.google.com/spreadsheets/d/11923uPwbBZFjjGgGUA6NLw09EwE0CqkOc4q9oUmW1yo/edit?usp=sharing"",""พิษณุโลก!J491"")"),4.76)</f>
        <v>4.76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7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IFERROR(__xludf.DUMMYFUNCTION("IMPORTRANGE(""https://docs.google.com/spreadsheets/d/11923uPwbBZFjjGgGUA6NLw09EwE0CqkOc4q9oUmW1yo/edit?usp=sharing"",""พิษณุโลก!J523"")"),2402453.19)</f>
        <v>2402453.19</v>
      </c>
      <c r="K628" s="342">
        <f t="shared" ref="K628:K635" ca="1" si="129">IF(I628&gt;0,J628*100/I628,0)</f>
        <v>61.756506006944242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IFERROR(__xludf.DUMMYFUNCTION("IMPORTRANGE(""https://docs.google.com/spreadsheets/d/11923uPwbBZFjjGgGUA6NLw09EwE0CqkOc4q9oUmW1yo/edit?usp=sharing"",""พิษณุโลก!J524"")"),179)</f>
        <v>179</v>
      </c>
      <c r="K629" s="342">
        <f t="shared" ca="1" si="129"/>
        <v>61.724137931034484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IFERROR(__xludf.DUMMYFUNCTION("IMPORTRANGE(""https://docs.google.com/spreadsheets/d/11923uPwbBZFjjGgGUA6NLw09EwE0CqkOc4q9oUmW1yo/edit?usp=sharing"",""พิษณุโลก!J525"")"),513512.14)</f>
        <v>513512.14</v>
      </c>
      <c r="K630" s="342">
        <f t="shared" ca="1" si="129"/>
        <v>20.045503505399438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IFERROR(__xludf.DUMMYFUNCTION("IMPORTRANGE(""https://docs.google.com/spreadsheets/d/11923uPwbBZFjjGgGUA6NLw09EwE0CqkOc4q9oUmW1yo/edit?usp=sharing"",""พิษณุโลก!J526"")"),90)</f>
        <v>90</v>
      </c>
      <c r="K631" s="342">
        <f t="shared" ca="1" si="129"/>
        <v>77.58620689655173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IFERROR(__xludf.DUMMYFUNCTION("IMPORTRANGE(""https://docs.google.com/spreadsheets/d/11923uPwbBZFjjGgGUA6NLw09EwE0CqkOc4q9oUmW1yo/edit?usp=sharing"",""พิษณุโลก!J529"")"),2260000)</f>
        <v>2260000</v>
      </c>
      <c r="K634" s="342">
        <f t="shared" ca="1" si="129"/>
        <v>56.5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IFERROR(__xludf.DUMMYFUNCTION("IMPORTRANGE(""https://docs.google.com/spreadsheets/d/11923uPwbBZFjjGgGUA6NLw09EwE0CqkOc4q9oUmW1yo/edit?usp=sharing"",""พิษณุโลก!I530"")"),100)</f>
        <v>100</v>
      </c>
      <c r="J635" s="504">
        <f ca="1">IFERROR(__xludf.DUMMYFUNCTION("IMPORTRANGE(""https://docs.google.com/spreadsheets/d/11923uPwbBZFjjGgGUA6NLw09EwE0CqkOc4q9oUmW1yo/edit?usp=sharing"",""พิษณุโลก!J530"")"),61)</f>
        <v>61</v>
      </c>
      <c r="K635" s="486">
        <f t="shared" ca="1" si="129"/>
        <v>61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IFERROR(__xludf.DUMMYFUNCTION("IMPORTRANGE(""https://docs.google.com/spreadsheets/d/11923uPwbBZFjjGgGUA6NLw09EwE0CqkOc4q9oUmW1yo/edit?usp=sharing"",""พิษณุโลก!J541"")"),0)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IFERROR(__xludf.DUMMYFUNCTION("IMPORTRANGE(""https://docs.google.com/spreadsheets/d/11923uPwbBZFjjGgGUA6NLw09EwE0CqkOc4q9oUmW1yo/edit?usp=sharing"",""พิษณุโลก!J542"")"),0)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IFERROR(__xludf.DUMMYFUNCTION("IMPORTRANGE(""https://docs.google.com/spreadsheets/d/11923uPwbBZFjjGgGUA6NLw09EwE0CqkOc4q9oUmW1yo/edit?usp=sharing"",""พิษณุโลก!I543"")"),0)</f>
        <v>0</v>
      </c>
      <c r="J648" s="535">
        <f ca="1">IFERROR(__xludf.DUMMYFUNCTION("IMPORTRANGE(""https://docs.google.com/spreadsheets/d/11923uPwbBZFjjGgGUA6NLw09EwE0CqkOc4q9oUmW1yo/edit?usp=sharing"",""พิษณุโลก!J543"")"),0)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IFERROR(__xludf.DUMMYFUNCTION("IMPORTRANGE(""https://docs.google.com/spreadsheets/d/11923uPwbBZFjjGgGUA6NLw09EwE0CqkOc4q9oUmW1yo/edit?usp=sharing"",""พิษณุโลก!L543"")"),0)</f>
        <v>0</v>
      </c>
      <c r="M648" s="520"/>
      <c r="N648" s="537">
        <f ca="1">IFERROR(__xludf.DUMMYFUNCTION("IMPORTRANGE(""https://docs.google.com/spreadsheets/d/11923uPwbBZFjjGgGUA6NLw09EwE0CqkOc4q9oUmW1yo/edit?usp=sharing"",""พิษณุโลก!M543"")"),0)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IFERROR(__xludf.DUMMYFUNCTION("IMPORTRANGE(""https://docs.google.com/spreadsheets/d/11923uPwbBZFjjGgGUA6NLw09EwE0CqkOc4q9oUmW1yo/edit?usp=sharing"",""พิษณุโลก!I544"")"),0)</f>
        <v>0</v>
      </c>
      <c r="J649" s="535">
        <f ca="1">IFERROR(__xludf.DUMMYFUNCTION("IMPORTRANGE(""https://docs.google.com/spreadsheets/d/11923uPwbBZFjjGgGUA6NLw09EwE0CqkOc4q9oUmW1yo/edit?usp=sharing"",""พิษณุโลก!J544"")"),0)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IFERROR(__xludf.DUMMYFUNCTION("IMPORTRANGE(""https://docs.google.com/spreadsheets/d/11923uPwbBZFjjGgGUA6NLw09EwE0CqkOc4q9oUmW1yo/edit?usp=sharing"",""พิษณุโลก!L544"")"),0)</f>
        <v>0</v>
      </c>
      <c r="M649" s="520"/>
      <c r="N649" s="537">
        <f ca="1">IFERROR(__xludf.DUMMYFUNCTION("IMPORTRANGE(""https://docs.google.com/spreadsheets/d/11923uPwbBZFjjGgGUA6NLw09EwE0CqkOc4q9oUmW1yo/edit?usp=sharing"",""พิษณุโลก!M544"")"),0)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IFERROR(__xludf.DUMMYFUNCTION("IMPORTRANGE(""https://docs.google.com/spreadsheets/d/11923uPwbBZFjjGgGUA6NLw09EwE0CqkOc4q9oUmW1yo/edit?usp=sharing"",""พิษณุโลก!I545"")"),0)</f>
        <v>0</v>
      </c>
      <c r="J650" s="535">
        <f ca="1">IFERROR(__xludf.DUMMYFUNCTION("IMPORTRANGE(""https://docs.google.com/spreadsheets/d/11923uPwbBZFjjGgGUA6NLw09EwE0CqkOc4q9oUmW1yo/edit?usp=sharing"",""พิษณุโลก!J545"")"),0)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IFERROR(__xludf.DUMMYFUNCTION("IMPORTRANGE(""https://docs.google.com/spreadsheets/d/11923uPwbBZFjjGgGUA6NLw09EwE0CqkOc4q9oUmW1yo/edit?usp=sharing"",""พิษณุโลก!L545"")"),0)</f>
        <v>0</v>
      </c>
      <c r="M650" s="520"/>
      <c r="N650" s="537">
        <f ca="1">IFERROR(__xludf.DUMMYFUNCTION("IMPORTRANGE(""https://docs.google.com/spreadsheets/d/11923uPwbBZFjjGgGUA6NLw09EwE0CqkOc4q9oUmW1yo/edit?usp=sharing"",""พิษณุโลก!M545"")"),0)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IFERROR(__xludf.DUMMYFUNCTION("IMPORTRANGE(""https://docs.google.com/spreadsheets/d/11923uPwbBZFjjGgGUA6NLw09EwE0CqkOc4q9oUmW1yo/edit?usp=sharing"",""พิษณุโลก!I546"")"),0)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IFERROR(__xludf.DUMMYFUNCTION("IMPORTRANGE(""https://docs.google.com/spreadsheets/d/11923uPwbBZFjjGgGUA6NLw09EwE0CqkOc4q9oUmW1yo/edit?usp=sharing"",""พิษณุโลก!L546"")"),0)</f>
        <v>0</v>
      </c>
      <c r="M651" s="520"/>
      <c r="N651" s="537">
        <f ca="1">IFERROR(__xludf.DUMMYFUNCTION("IMPORTRANGE(""https://docs.google.com/spreadsheets/d/11923uPwbBZFjjGgGUA6NLw09EwE0CqkOc4q9oUmW1yo/edit?usp=sharing"",""พิษณุโลก!M546"")"),0)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IFERROR(__xludf.DUMMYFUNCTION("IMPORTRANGE(""https://docs.google.com/spreadsheets/d/11923uPwbBZFjjGgGUA6NLw09EwE0CqkOc4q9oUmW1yo/edit?usp=sharing"",""พิษณุโลก!J547"")"),0)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IFERROR(__xludf.DUMMYFUNCTION("IMPORTRANGE(""https://docs.google.com/spreadsheets/d/11923uPwbBZFjjGgGUA6NLw09EwE0CqkOc4q9oUmW1yo/edit?usp=sharing"",""พิษณุโลก!J548"")"),0)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IFERROR(__xludf.DUMMYFUNCTION("IMPORTRANGE(""https://docs.google.com/spreadsheets/d/11923uPwbBZFjjGgGUA6NLw09EwE0CqkOc4q9oUmW1yo/edit?usp=sharing"",""พิษณุโลก!J550"")"),0)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IFERROR(__xludf.DUMMYFUNCTION("IMPORTRANGE(""https://docs.google.com/spreadsheets/d/11923uPwbBZFjjGgGUA6NLw09EwE0CqkOc4q9oUmW1yo/edit?usp=sharing"",""พิษณุโลก!J551"")"),0)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IFERROR(__xludf.DUMMYFUNCTION("IMPORTRANGE(""https://docs.google.com/spreadsheets/d/11923uPwbBZFjjGgGUA6NLw09EwE0CqkOc4q9oUmW1yo/edit?usp=sharing"",""พิษณุโลก!J552"")"),0)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IFERROR(__xludf.DUMMYFUNCTION("IMPORTRANGE(""https://docs.google.com/spreadsheets/d/11923uPwbBZFjjGgGUA6NLw09EwE0CqkOc4q9oUmW1yo/edit?usp=sharing"",""พิษณุโลก!J553"")"),0)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IFERROR(__xludf.DUMMYFUNCTION("IMPORTRANGE(""https://docs.google.com/spreadsheets/d/11923uPwbBZFjjGgGUA6NLw09EwE0CqkOc4q9oUmW1yo/edit?usp=sharing"",""พิษณุโลก!J554"")"),0)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IFERROR(__xludf.DUMMYFUNCTION("IMPORTRANGE(""https://docs.google.com/spreadsheets/d/11923uPwbBZFjjGgGUA6NLw09EwE0CqkOc4q9oUmW1yo/edit?usp=sharing"",""พิษณุโลก!J555"")"),0)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IFERROR(__xludf.DUMMYFUNCTION("IMPORTRANGE(""https://docs.google.com/spreadsheets/d/11923uPwbBZFjjGgGUA6NLw09EwE0CqkOc4q9oUmW1yo/edit?usp=sharing"",""พิษณุโลก!J556"")"),0)</f>
        <v>0</v>
      </c>
      <c r="K661" s="536"/>
      <c r="L661" s="521">
        <f ca="1">IFERROR(__xludf.DUMMYFUNCTION("IMPORTRANGE(""https://docs.google.com/spreadsheets/d/11923uPwbBZFjjGgGUA6NLw09EwE0CqkOc4q9oUmW1yo/edit?usp=sharing"",""พิษณุโลก!L556"")"),0)</f>
        <v>0</v>
      </c>
      <c r="M661" s="520"/>
      <c r="N661" s="537">
        <f ca="1">IFERROR(__xludf.DUMMYFUNCTION("IMPORTRANGE(""https://docs.google.com/spreadsheets/d/11923uPwbBZFjjGgGUA6NLw09EwE0CqkOc4q9oUmW1yo/edit?usp=sharing"",""พิษณุโลก!M556"")"),0)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IFERROR(__xludf.DUMMYFUNCTION("IMPORTRANGE(""https://docs.google.com/spreadsheets/d/11923uPwbBZFjjGgGUA6NLw09EwE0CqkOc4q9oUmW1yo/edit?usp=sharing"",""พิษณุโลก!J557"")"),0)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IFERROR(__xludf.DUMMYFUNCTION("IMPORTRANGE(""https://docs.google.com/spreadsheets/d/11923uPwbBZFjjGgGUA6NLw09EwE0CqkOc4q9oUmW1yo/edit?usp=sharing"",""พิษณุโลก!I558"")"),0)</f>
        <v>0</v>
      </c>
      <c r="J663" s="535">
        <f ca="1">IFERROR(__xludf.DUMMYFUNCTION("IMPORTRANGE(""https://docs.google.com/spreadsheets/d/11923uPwbBZFjjGgGUA6NLw09EwE0CqkOc4q9oUmW1yo/edit?usp=sharing"",""พิษณุโลก!J558"")"),0)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IFERROR(__xludf.DUMMYFUNCTION("IMPORTRANGE(""https://docs.google.com/spreadsheets/d/11923uPwbBZFjjGgGUA6NLw09EwE0CqkOc4q9oUmW1yo/edit?usp=sharing"",""พิษณุโลก!I560"")"),0)</f>
        <v>0</v>
      </c>
      <c r="J665" s="535">
        <f ca="1">IFERROR(__xludf.DUMMYFUNCTION("IMPORTRANGE(""https://docs.google.com/spreadsheets/d/11923uPwbBZFjjGgGUA6NLw09EwE0CqkOc4q9oUmW1yo/edit?usp=sharing"",""พิษณุโลก!J560"")"),0)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IFERROR(__xludf.DUMMYFUNCTION("IMPORTRANGE(""https://docs.google.com/spreadsheets/d/11923uPwbBZFjjGgGUA6NLw09EwE0CqkOc4q9oUmW1yo/edit?usp=sharing"",""พิษณุโลก!L560"")"),0)</f>
        <v>0</v>
      </c>
      <c r="M665" s="520"/>
      <c r="N665" s="537">
        <f ca="1">IFERROR(__xludf.DUMMYFUNCTION("IMPORTRANGE(""https://docs.google.com/spreadsheets/d/11923uPwbBZFjjGgGUA6NLw09EwE0CqkOc4q9oUmW1yo/edit?usp=sharing"",""พิษณุโลก!M560"")"),0)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IFERROR(__xludf.DUMMYFUNCTION("IMPORTRANGE(""https://docs.google.com/spreadsheets/d/11923uPwbBZFjjGgGUA6NLw09EwE0CqkOc4q9oUmW1yo/edit?usp=sharing"",""พิษณุโลก!J561"")"),0)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IFERROR(__xludf.DUMMYFUNCTION("IMPORTRANGE(""https://docs.google.com/spreadsheets/d/11923uPwbBZFjjGgGUA6NLw09EwE0CqkOc4q9oUmW1yo/edit?usp=sharing"",""พิษณุโลก!J562"")"),0)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IFERROR(__xludf.DUMMYFUNCTION("IMPORTRANGE(""https://docs.google.com/spreadsheets/d/11923uPwbBZFjjGgGUA6NLw09EwE0CqkOc4q9oUmW1yo/edit?usp=sharing"",""พิษณุโลก!I563"")"),0)</f>
        <v>0</v>
      </c>
      <c r="J668" s="535">
        <f ca="1">IFERROR(__xludf.DUMMYFUNCTION("IMPORTRANGE(""https://docs.google.com/spreadsheets/d/11923uPwbBZFjjGgGUA6NLw09EwE0CqkOc4q9oUmW1yo/edit?usp=sharing"",""พิษณุโลก!J563"")"),0)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IFERROR(__xludf.DUMMYFUNCTION("IMPORTRANGE(""https://docs.google.com/spreadsheets/d/11923uPwbBZFjjGgGUA6NLw09EwE0CqkOc4q9oUmW1yo/edit?usp=sharing"",""พิษณุโลก!L563"")"),0)</f>
        <v>0</v>
      </c>
      <c r="M668" s="520"/>
      <c r="N668" s="537">
        <f ca="1">IFERROR(__xludf.DUMMYFUNCTION("IMPORTRANGE(""https://docs.google.com/spreadsheets/d/11923uPwbBZFjjGgGUA6NLw09EwE0CqkOc4q9oUmW1yo/edit?usp=sharing"",""พิษณุโลก!M563"")"),0)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IFERROR(__xludf.DUMMYFUNCTION("IMPORTRANGE(""https://docs.google.com/spreadsheets/d/11923uPwbBZFjjGgGUA6NLw09EwE0CqkOc4q9oUmW1yo/edit?usp=sharing"",""พิษณุโลก!J564"")"),0)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IFERROR(__xludf.DUMMYFUNCTION("IMPORTRANGE(""https://docs.google.com/spreadsheets/d/11923uPwbBZFjjGgGUA6NLw09EwE0CqkOc4q9oUmW1yo/edit?usp=sharing"",""พิษณุโลก!J565"")"),0)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IFERROR(__xludf.DUMMYFUNCTION("IMPORTRANGE(""https://docs.google.com/spreadsheets/d/11923uPwbBZFjjGgGUA6NLw09EwE0CqkOc4q9oUmW1yo/edit?usp=sharing"",""พิษณุโลก!I566"")"),0)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IFERROR(__xludf.DUMMYFUNCTION("IMPORTRANGE(""https://docs.google.com/spreadsheets/d/11923uPwbBZFjjGgGUA6NLw09EwE0CqkOc4q9oUmW1yo/edit?usp=sharing"",""พิษณุโลก!L566"")"),0)</f>
        <v>0</v>
      </c>
      <c r="M671" s="520"/>
      <c r="N671" s="537">
        <f ca="1">IFERROR(__xludf.DUMMYFUNCTION("IMPORTRANGE(""https://docs.google.com/spreadsheets/d/11923uPwbBZFjjGgGUA6NLw09EwE0CqkOc4q9oUmW1yo/edit?usp=sharing"",""พิษณุโลก!M566"")"),0)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IFERROR(__xludf.DUMMYFUNCTION("IMPORTRANGE(""https://docs.google.com/spreadsheets/d/11923uPwbBZFjjGgGUA6NLw09EwE0CqkOc4q9oUmW1yo/edit?usp=sharing"",""พิษณุโลก!J567"")"),0)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IFERROR(__xludf.DUMMYFUNCTION("IMPORTRANGE(""https://docs.google.com/spreadsheets/d/11923uPwbBZFjjGgGUA6NLw09EwE0CqkOc4q9oUmW1yo/edit?usp=sharing"",""พิษณุโลก!J568"")"),0)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IFERROR(__xludf.DUMMYFUNCTION("IMPORTRANGE(""https://docs.google.com/spreadsheets/d/11923uPwbBZFjjGgGUA6NLw09EwE0CqkOc4q9oUmW1yo/edit?usp=sharing"",""พิษณุโลก!J569"")"),0)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IFERROR(__xludf.DUMMYFUNCTION("IMPORTRANGE(""https://docs.google.com/spreadsheets/d/11923uPwbBZFjjGgGUA6NLw09EwE0CqkOc4q9oUmW1yo/edit?usp=sharing"",""พิษณุโลก!J570"")"),0)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IFERROR(__xludf.DUMMYFUNCTION("IMPORTRANGE(""https://docs.google.com/spreadsheets/d/11923uPwbBZFjjGgGUA6NLw09EwE0CqkOc4q9oUmW1yo/edit?usp=sharing"",""พิษณุโลก!J571"")"),0)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IFERROR(__xludf.DUMMYFUNCTION("IMPORTRANGE(""https://docs.google.com/spreadsheets/d/11923uPwbBZFjjGgGUA6NLw09EwE0CqkOc4q9oUmW1yo/edit?usp=sharing"",""พิษณุโลก!J572"")"),0)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278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7036561</v>
      </c>
      <c r="M8" s="23">
        <f t="shared" ca="1" si="0"/>
        <v>3151230</v>
      </c>
      <c r="N8" s="23">
        <f t="shared" ca="1" si="0"/>
        <v>4286632.0499999989</v>
      </c>
      <c r="O8" s="22">
        <f t="shared" ref="O8:O16" ca="1" si="1">IF(L8&gt;0,N8*100/L8,0)</f>
        <v>60.919418590984982</v>
      </c>
      <c r="P8" s="22">
        <f t="shared" ref="P8:P16" ca="1" si="2">IF(M8&gt;0,N8*100/M8,0)</f>
        <v>136.03044049466396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7036561</v>
      </c>
      <c r="M10" s="30">
        <f t="shared" ca="1" si="4"/>
        <v>3151230</v>
      </c>
      <c r="N10" s="30">
        <f t="shared" ca="1" si="4"/>
        <v>4286632.0499999989</v>
      </c>
      <c r="O10" s="29">
        <f t="shared" ca="1" si="1"/>
        <v>60.919418590984982</v>
      </c>
      <c r="P10" s="29">
        <f t="shared" ca="1" si="2"/>
        <v>136.03044049466396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6803261</v>
      </c>
      <c r="M12" s="39">
        <f t="shared" ca="1" si="6"/>
        <v>2917930</v>
      </c>
      <c r="N12" s="39">
        <f t="shared" ca="1" si="6"/>
        <v>4053332.0499999989</v>
      </c>
      <c r="O12" s="39">
        <f t="shared" ca="1" si="1"/>
        <v>59.579252508466141</v>
      </c>
      <c r="P12" s="39">
        <f t="shared" ca="1" si="2"/>
        <v>138.91121617036731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4811661</v>
      </c>
      <c r="M14" s="39">
        <f t="shared" si="8"/>
        <v>0</v>
      </c>
      <c r="N14" s="39">
        <f t="shared" ca="1" si="8"/>
        <v>1709397.959999999</v>
      </c>
      <c r="O14" s="39">
        <f t="shared" ca="1" si="1"/>
        <v>35.526151156534077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3151230</v>
      </c>
      <c r="N18" s="23">
        <f t="shared" ca="1" si="11"/>
        <v>2577234.09</v>
      </c>
      <c r="O18" s="22">
        <f t="shared" ref="O18:O20" ca="1" si="12">IF(L18&gt;0,N18*100/L18,0)</f>
        <v>65.068441642544883</v>
      </c>
      <c r="P18" s="22">
        <f t="shared" ref="P18:P26" ca="1" si="13">IF(M18&gt;0,N18*100/M18,0)</f>
        <v>81.785020134994909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3151230</v>
      </c>
      <c r="N20" s="30">
        <f t="shared" ca="1" si="15"/>
        <v>2577234.09</v>
      </c>
      <c r="O20" s="29">
        <f t="shared" ca="1" si="12"/>
        <v>65.068441642544883</v>
      </c>
      <c r="P20" s="29">
        <f t="shared" ca="1" si="13"/>
        <v>81.785020134994909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3727505</v>
      </c>
      <c r="M22" s="42">
        <f t="shared" ca="1" si="18"/>
        <v>2917930</v>
      </c>
      <c r="N22" s="39">
        <f t="shared" ca="1" si="18"/>
        <v>2343934.09</v>
      </c>
      <c r="O22" s="39">
        <f t="shared" ca="1" si="17"/>
        <v>62.882117931431345</v>
      </c>
      <c r="P22" s="39">
        <f t="shared" ca="1" si="13"/>
        <v>80.328660728667245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1735905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3075756</v>
      </c>
      <c r="M28" s="23">
        <f t="shared" si="23"/>
        <v>0</v>
      </c>
      <c r="N28" s="23">
        <f t="shared" ca="1" si="23"/>
        <v>1709397.959999999</v>
      </c>
      <c r="O28" s="22">
        <f t="shared" ref="O28:O30" ca="1" si="24">IF(L28&gt;0,N28*100/L28,0)</f>
        <v>55.576513871711512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3075756</v>
      </c>
      <c r="M30" s="30">
        <f t="shared" si="27"/>
        <v>0</v>
      </c>
      <c r="N30" s="30">
        <f t="shared" ca="1" si="27"/>
        <v>1709397.959999999</v>
      </c>
      <c r="O30" s="29">
        <f t="shared" ca="1" si="24"/>
        <v>55.576513871711512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3075756</v>
      </c>
      <c r="M32" s="39">
        <f t="shared" si="30"/>
        <v>0</v>
      </c>
      <c r="N32" s="39">
        <f t="shared" ca="1" si="30"/>
        <v>1709397.959999999</v>
      </c>
      <c r="O32" s="39">
        <f t="shared" ca="1" si="29"/>
        <v>55.576513871711512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3075756</v>
      </c>
      <c r="M34" s="39">
        <f t="shared" si="32"/>
        <v>0</v>
      </c>
      <c r="N34" s="39">
        <f t="shared" ca="1" si="32"/>
        <v>1709397.959999999</v>
      </c>
      <c r="O34" s="39">
        <f t="shared" ca="1" si="29"/>
        <v>55.576513871711512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3960805</v>
      </c>
      <c r="M37" s="55">
        <f t="shared" ca="1" si="33"/>
        <v>3151230</v>
      </c>
      <c r="N37" s="55">
        <f t="shared" ca="1" si="33"/>
        <v>2577234.09</v>
      </c>
      <c r="O37" s="56">
        <f t="shared" ca="1" si="29"/>
        <v>65.068441642544883</v>
      </c>
      <c r="P37" s="56">
        <f t="shared" ca="1" si="25"/>
        <v>81.785020134994909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776100</v>
      </c>
      <c r="N41" s="79">
        <f t="shared" ca="1" si="34"/>
        <v>659874.32000000007</v>
      </c>
      <c r="O41" s="78">
        <f t="shared" ref="O41:O43" ca="1" si="35">IF(L41&gt;0,N41*100/L41,0)</f>
        <v>67.430443490701009</v>
      </c>
      <c r="P41" s="78">
        <f t="shared" ref="P41:P43" ca="1" si="36">IF(M41&gt;0,N41*100/M41,0)</f>
        <v>85.024393763690256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776100</v>
      </c>
      <c r="N43" s="79">
        <f t="shared" ca="1" si="38"/>
        <v>659874.32000000007</v>
      </c>
      <c r="O43" s="78">
        <f t="shared" ca="1" si="35"/>
        <v>67.430443490701009</v>
      </c>
      <c r="P43" s="78">
        <f t="shared" ca="1" si="36"/>
        <v>85.024393763690256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IFERROR(__xludf.DUMMYFUNCTION("IMPORTRANGE(""https://docs.google.com/spreadsheets/d/1Yj_ptqi66GCucihVvJfMjLAmec39IyEx_6qawtMGysU/edit?usp=sharing"",""สบก!Q29"")"),607600)</f>
        <v>607600</v>
      </c>
      <c r="N45" s="50">
        <f ca="1">IFERROR(__xludf.DUMMYFUNCTION("IMPORTRANGE(""https://docs.google.com/spreadsheets/d/1Yj_ptqi66GCucihVvJfMjLAmec39IyEx_6qawtMGysU/edit?usp=sharing"",""สบก!R29"")"),491374.32)</f>
        <v>491374.32</v>
      </c>
      <c r="O45" s="39">
        <f ca="1">IF(L45&gt;0,N45*100/L45,0)</f>
        <v>60.656007900259226</v>
      </c>
      <c r="P45" s="39">
        <f ca="1">IF(M45&gt;0,N45*100/M45,0)</f>
        <v>80.871349572086899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450440</v>
      </c>
      <c r="N53" s="121">
        <f t="shared" ca="1" si="39"/>
        <v>372103</v>
      </c>
      <c r="O53" s="120">
        <f t="shared" ref="O53:O55" ca="1" si="40">IF(L53&gt;0,N53*100/L53,0)</f>
        <v>65.97570921985816</v>
      </c>
      <c r="P53" s="120">
        <f t="shared" ref="P53:P55" ca="1" si="41">IF(M53&gt;0,N53*100/M53,0)</f>
        <v>82.608782523754556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450440</v>
      </c>
      <c r="N55" s="121">
        <f t="shared" ca="1" si="43"/>
        <v>372103</v>
      </c>
      <c r="O55" s="120">
        <f t="shared" ca="1" si="40"/>
        <v>65.97570921985816</v>
      </c>
      <c r="P55" s="120">
        <f t="shared" ca="1" si="41"/>
        <v>82.608782523754556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IFERROR(__xludf.DUMMYFUNCTION("IMPORTRANGE(""https://docs.google.com/spreadsheets/d/1Yj_ptqi66GCucihVvJfMjLAmec39IyEx_6qawtMGysU/edit?usp=sharing"",""สบก!Z29"")"),450440)</f>
        <v>450440</v>
      </c>
      <c r="N57" s="50">
        <f ca="1">IFERROR(__xludf.DUMMYFUNCTION("IMPORTRANGE(""https://docs.google.com/spreadsheets/d/1Yj_ptqi66GCucihVvJfMjLAmec39IyEx_6qawtMGysU/edit?usp=sharing"",""สบก!AA29"")"),372103)</f>
        <v>372103</v>
      </c>
      <c r="O57" s="39">
        <f ca="1">IF(L57&gt;0,N57*100/L57,0)</f>
        <v>65.97570921985816</v>
      </c>
      <c r="P57" s="39">
        <f ca="1">IF(M57&gt;0,N57*100/M57,0)</f>
        <v>82.608782523754556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470320</v>
      </c>
      <c r="N66" s="152">
        <f t="shared" ca="1" si="45"/>
        <v>358392.77</v>
      </c>
      <c r="O66" s="151">
        <f t="shared" ref="O66:O68" ca="1" si="46">IF(L66&gt;0,N66*100/L66,0)</f>
        <v>62.059354112554111</v>
      </c>
      <c r="P66" s="151">
        <f t="shared" ref="P66:P68" ca="1" si="47">IF(M66&gt;0,N66*100/M66,0)</f>
        <v>76.20189870726314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470320</v>
      </c>
      <c r="N68" s="88">
        <f t="shared" ca="1" si="49"/>
        <v>358392.77</v>
      </c>
      <c r="O68" s="156">
        <f t="shared" ca="1" si="46"/>
        <v>62.059354112554111</v>
      </c>
      <c r="P68" s="156">
        <f t="shared" ca="1" si="47"/>
        <v>76.20189870726314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IFERROR(__xludf.DUMMYFUNCTION("IMPORTRANGE(""https://docs.google.com/spreadsheets/d/1Yj_ptqi66GCucihVvJfMjLAmec39IyEx_6qawtMGysU/edit?usp=sharing"",""สบก!AI29"")"),470320)</f>
        <v>470320</v>
      </c>
      <c r="N70" s="168">
        <f ca="1">IFERROR(__xludf.DUMMYFUNCTION("IMPORTRANGE(""https://docs.google.com/spreadsheets/d/1Yj_ptqi66GCucihVvJfMjLAmec39IyEx_6qawtMGysU/edit?usp=sharing"",""สบก!AJ29"")"),358392.77)</f>
        <v>358392.77</v>
      </c>
      <c r="O70" s="168">
        <f ca="1">IF(L70&gt;0,N70*100/L70,0)</f>
        <v>62.059354112554111</v>
      </c>
      <c r="P70" s="168">
        <f ca="1">IF(M70&gt;0,N70*100/M70,0)</f>
        <v>76.20189870726314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74670</v>
      </c>
      <c r="O118" s="151">
        <f t="shared" ref="O118:O120" ca="1" si="59">IF(L118&gt;0,N118*100/L118,0)</f>
        <v>90.574963609898106</v>
      </c>
      <c r="P118" s="151">
        <f t="shared" ref="P118:P120" ca="1" si="60">IF(M118&gt;0,N118*100/M118,0)</f>
        <v>90.574963609898106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74670</v>
      </c>
      <c r="O120" s="156">
        <f t="shared" ca="1" si="59"/>
        <v>90.574963609898106</v>
      </c>
      <c r="P120" s="156">
        <f t="shared" ca="1" si="60"/>
        <v>90.574963609898106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IFERROR(__xludf.DUMMYFUNCTION("IMPORTRANGE(""https://docs.google.com/spreadsheets/d/1Yj_ptqi66GCucihVvJfMjLAmec39IyEx_6qawtMGysU/edit?usp=sharing"",""สบก!BA29"")"),82440)</f>
        <v>82440</v>
      </c>
      <c r="N122" s="168">
        <f ca="1">IFERROR(__xludf.DUMMYFUNCTION("IMPORTRANGE(""https://docs.google.com/spreadsheets/d/1Yj_ptqi66GCucihVvJfMjLAmec39IyEx_6qawtMGysU/edit?usp=sharing"",""สบก!BB29"")"),74670)</f>
        <v>74670</v>
      </c>
      <c r="O122" s="168">
        <f ca="1">IF(L122&gt;0,N122*100/L122,0)</f>
        <v>90.574963609898106</v>
      </c>
      <c r="P122" s="168">
        <f ca="1">IF(M122&gt;0,N122*100/M122,0)</f>
        <v>90.574963609898106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254700</v>
      </c>
      <c r="M140" s="152">
        <f t="shared" ca="1" si="64"/>
        <v>233225</v>
      </c>
      <c r="N140" s="152">
        <f t="shared" ca="1" si="64"/>
        <v>154730</v>
      </c>
      <c r="O140" s="151">
        <f t="shared" ref="O140:O142" ca="1" si="65">IF(L140&gt;0,N140*100/L140,0)</f>
        <v>60.749901845308209</v>
      </c>
      <c r="P140" s="151">
        <f t="shared" ref="P140:P142" ca="1" si="66">IF(M140&gt;0,N140*100/M140,0)</f>
        <v>66.343659556222534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254700</v>
      </c>
      <c r="M142" s="88">
        <f t="shared" ca="1" si="68"/>
        <v>233225</v>
      </c>
      <c r="N142" s="88">
        <f t="shared" ca="1" si="68"/>
        <v>154730</v>
      </c>
      <c r="O142" s="156">
        <f t="shared" ca="1" si="65"/>
        <v>60.749901845308209</v>
      </c>
      <c r="P142" s="156">
        <f t="shared" ca="1" si="66"/>
        <v>66.343659556222534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IFERROR(__xludf.DUMMYFUNCTION("IMPORTRANGE(""https://docs.google.com/spreadsheets/d/1Yj_ptqi66GCucihVvJfMjLAmec39IyEx_6qawtMGysU/edit?usp=sharing"",""สบก!BJ29"")"),233225)</f>
        <v>233225</v>
      </c>
      <c r="N144" s="168">
        <f ca="1">IFERROR(__xludf.DUMMYFUNCTION("IMPORTRANGE(""https://docs.google.com/spreadsheets/d/1Yj_ptqi66GCucihVvJfMjLAmec39IyEx_6qawtMGysU/edit?usp=sharing"",""สบก!BK29"")"),154730)</f>
        <v>154730</v>
      </c>
      <c r="O144" s="168">
        <f ca="1">IF(L144&gt;0,N144*100/L144,0)</f>
        <v>60.749901845308209</v>
      </c>
      <c r="P144" s="168">
        <f ca="1">IF(M144&gt;0,N144*100/M144,0)</f>
        <v>66.343659556222534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IFERROR(__xludf.DUMMYFUNCTION("IMPORTRANGE(""https://docs.google.com/spreadsheets/d/11923uPwbBZFjjGgGUA6NLw09EwE0CqkOc4q9oUmW1yo/edit?usp=sharing"",""เพชรบูรณ์!J84"")"),178)</f>
        <v>178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IFERROR(__xludf.DUMMYFUNCTION("IMPORTRANGE(""https://docs.google.com/spreadsheets/d/11923uPwbBZFjjGgGUA6NLw09EwE0CqkOc4q9oUmW1yo/edit?usp=sharing"",""เพชรบูรณ์!J85"")"),178)</f>
        <v>178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IFERROR(__xludf.DUMMYFUNCTION("IMPORTRANGE(""https://docs.google.com/spreadsheets/d/11923uPwbBZFjjGgGUA6NLw09EwE0CqkOc4q9oUmW1yo/edit?usp=sharing"",""เพชรบูรณ์!J101"")"),1)</f>
        <v>1</v>
      </c>
      <c r="K176" s="285">
        <f ca="1">IF(I176&gt;0,J176*100/I176,0)</f>
        <v>50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IFERROR(__xludf.DUMMYFUNCTION("IMPORTRANGE(""https://docs.google.com/spreadsheets/d/11923uPwbBZFjjGgGUA6NLw09EwE0CqkOc4q9oUmW1yo/edit?usp=sharing"",""เพชรบูรณ์!J107"")"),1)</f>
        <v>1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IFERROR(__xludf.DUMMYFUNCTION("IMPORTRANGE(""https://docs.google.com/spreadsheets/d/11923uPwbBZFjjGgGUA6NLw09EwE0CqkOc4q9oUmW1yo/edit?usp=sharing"",""เพชรบูรณ์!J110"")"),1)</f>
        <v>1</v>
      </c>
      <c r="K185" s="224">
        <f t="shared" ref="K185:K186" ca="1" si="69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IFERROR(__xludf.DUMMYFUNCTION("IMPORTRANGE(""https://docs.google.com/spreadsheets/d/11923uPwbBZFjjGgGUA6NLw09EwE0CqkOc4q9oUmW1yo/edit?usp=sharing"",""เพชรบูรณ์!J111"")"),1)</f>
        <v>1</v>
      </c>
      <c r="K186" s="224">
        <f t="shared" ca="1" si="69"/>
        <v>50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124624</v>
      </c>
      <c r="O250" s="151">
        <f t="shared" ref="O250:O252" ca="1" si="78">IF(L250&gt;0,N250*100/L250,0)</f>
        <v>62.625125628140701</v>
      </c>
      <c r="P250" s="151">
        <f t="shared" ref="P250:P252" ca="1" si="79">IF(M250&gt;0,N250*100/M250,0)</f>
        <v>70.409039548022605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177000</v>
      </c>
      <c r="N252" s="88">
        <f t="shared" ca="1" si="81"/>
        <v>124624</v>
      </c>
      <c r="O252" s="156">
        <f t="shared" ca="1" si="78"/>
        <v>62.625125628140701</v>
      </c>
      <c r="P252" s="156">
        <f t="shared" ca="1" si="79"/>
        <v>70.409039548022605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IFERROR(__xludf.DUMMYFUNCTION("IMPORTRANGE(""https://docs.google.com/spreadsheets/d/1Yj_ptqi66GCucihVvJfMjLAmec39IyEx_6qawtMGysU/edit?usp=sharing"",""สบก!CB29"")"),177000)</f>
        <v>177000</v>
      </c>
      <c r="N254" s="168">
        <f ca="1">IFERROR(__xludf.DUMMYFUNCTION("IMPORTRANGE(""https://docs.google.com/spreadsheets/d/1Yj_ptqi66GCucihVvJfMjLAmec39IyEx_6qawtMGysU/edit?usp=sharing"",""สบก!CC29"")"),124624)</f>
        <v>124624</v>
      </c>
      <c r="O254" s="168">
        <f ca="1">IF(L254&gt;0,N254*100/L254,0)</f>
        <v>62.625125628140701</v>
      </c>
      <c r="P254" s="168">
        <f ca="1">IF(M254&gt;0,N254*100/M254,0)</f>
        <v>70.409039548022605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33000</v>
      </c>
      <c r="N271" s="152">
        <f t="shared" ca="1" si="83"/>
        <v>33000</v>
      </c>
      <c r="O271" s="151">
        <f t="shared" ref="O271:O273" ca="1" si="84">IF(L271&gt;0,N271*100/L271,0)</f>
        <v>44.776119402985074</v>
      </c>
      <c r="P271" s="151">
        <f t="shared" ref="P271:P273" ca="1" si="85">IF(M271&gt;0,N271*100/M271,0)</f>
        <v>100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33000</v>
      </c>
      <c r="N273" s="88">
        <f t="shared" ca="1" si="87"/>
        <v>33000</v>
      </c>
      <c r="O273" s="156">
        <f t="shared" ca="1" si="84"/>
        <v>44.776119402985074</v>
      </c>
      <c r="P273" s="156">
        <f t="shared" ca="1" si="85"/>
        <v>100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IFERROR(__xludf.DUMMYFUNCTION("IMPORTRANGE(""https://docs.google.com/spreadsheets/d/1Yj_ptqi66GCucihVvJfMjLAmec39IyEx_6qawtMGysU/edit?usp=sharing"",""สบก!CK29"")"),33000)</f>
        <v>33000</v>
      </c>
      <c r="N275" s="168">
        <f ca="1">IFERROR(__xludf.DUMMYFUNCTION("IMPORTRANGE(""https://docs.google.com/spreadsheets/d/1Yj_ptqi66GCucihVvJfMjLAmec39IyEx_6qawtMGysU/edit?usp=sharing"",""สบก!CL29"")"),33000)</f>
        <v>33000</v>
      </c>
      <c r="O275" s="168">
        <f ca="1">IF(L275&gt;0,N275*100/L275,0)</f>
        <v>44.776119402985074</v>
      </c>
      <c r="P275" s="168">
        <f ca="1">IF(M275&gt;0,N275*100/M275,0)</f>
        <v>100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IFERROR(__xludf.DUMMYFUNCTION("IMPORTRANGE(""https://docs.google.com/spreadsheets/d/11923uPwbBZFjjGgGUA6NLw09EwE0CqkOc4q9oUmW1yo/edit?usp=sharing"",""เพชรบูรณ์!J228"")"),180)</f>
        <v>180</v>
      </c>
      <c r="K328" s="317">
        <f ca="1">IF(I328&gt;0,J328*100/I328,0)</f>
        <v>29.508196721311474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907580</v>
      </c>
      <c r="N329" s="152">
        <f t="shared" ca="1" si="98"/>
        <v>778715</v>
      </c>
      <c r="O329" s="151">
        <f t="shared" ref="O329:O331" ca="1" si="99">IF(L329&gt;0,N329*100/L329,0)</f>
        <v>64.370443235736602</v>
      </c>
      <c r="P329" s="151">
        <f t="shared" ref="P329:P331" ca="1" si="100">IF(M329&gt;0,N329*100/M329,0)</f>
        <v>85.801251680292651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907580</v>
      </c>
      <c r="N331" s="88">
        <f t="shared" ca="1" si="102"/>
        <v>778715</v>
      </c>
      <c r="O331" s="156">
        <f t="shared" ca="1" si="99"/>
        <v>64.370443235736602</v>
      </c>
      <c r="P331" s="156">
        <f t="shared" ca="1" si="100"/>
        <v>85.801251680292651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IFERROR(__xludf.DUMMYFUNCTION("IMPORTRANGE(""https://docs.google.com/spreadsheets/d/1Yj_ptqi66GCucihVvJfMjLAmec39IyEx_6qawtMGysU/edit?usp=sharing"",""สบก!DL29"")"),842780)</f>
        <v>842780</v>
      </c>
      <c r="N333" s="168">
        <f ca="1">IFERROR(__xludf.DUMMYFUNCTION("IMPORTRANGE(""https://docs.google.com/spreadsheets/d/1Yj_ptqi66GCucihVvJfMjLAmec39IyEx_6qawtMGysU/edit?usp=sharing"",""สบก!DM29"")"),713915)</f>
        <v>713915</v>
      </c>
      <c r="O333" s="168">
        <f ca="1">IF(L333&gt;0,N333*100/L333,0)</f>
        <v>62.353922476286968</v>
      </c>
      <c r="P333" s="168">
        <f ca="1">IF(M333&gt;0,N333*100/M333,0)</f>
        <v>84.709532736894559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IFERROR(__xludf.DUMMYFUNCTION("IMPORTRANGE(""https://docs.google.com/spreadsheets/d/11923uPwbBZFjjGgGUA6NLw09EwE0CqkOc4q9oUmW1yo/edit?usp=sharing"",""เพชรบูรณ์!J234"")"),393)</f>
        <v>393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IFERROR(__xludf.DUMMYFUNCTION("IMPORTRANGE(""https://docs.google.com/spreadsheets/d/11923uPwbBZFjjGgGUA6NLw09EwE0CqkOc4q9oUmW1yo/edit?usp=sharing"",""เพชรบูรณ์!J235"")"),4284.03)</f>
        <v>4284.03</v>
      </c>
      <c r="K340" s="342">
        <f t="shared" ca="1" si="103"/>
        <v>72.36537162162162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IFERROR(__xludf.DUMMYFUNCTION("IMPORTRANGE(""https://docs.google.com/spreadsheets/d/11923uPwbBZFjjGgGUA6NLw09EwE0CqkOc4q9oUmW1yo/edit?usp=sharing"",""เพชรบูรณ์!J236"")"),555)</f>
        <v>555</v>
      </c>
      <c r="K341" s="342">
        <f t="shared" ca="1" si="103"/>
        <v>90.983606557377044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IFERROR(__xludf.DUMMYFUNCTION("IMPORTRANGE(""https://docs.google.com/spreadsheets/d/11923uPwbBZFjjGgGUA6NLw09EwE0CqkOc4q9oUmW1yo/edit?usp=sharing"",""เพชรบูรณ์!J237"")"),7956.65)</f>
        <v>7956.65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IFERROR(__xludf.DUMMYFUNCTION("IMPORTRANGE(""https://docs.google.com/spreadsheets/d/11923uPwbBZFjjGgGUA6NLw09EwE0CqkOc4q9oUmW1yo/edit?usp=sharing"",""เพชรบูรณ์!J240"")"),180)</f>
        <v>180</v>
      </c>
      <c r="K345" s="342">
        <f t="shared" ca="1" si="103"/>
        <v>29.508196721311474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IFERROR(__xludf.DUMMYFUNCTION("IMPORTRANGE(""https://docs.google.com/spreadsheets/d/11923uPwbBZFjjGgGUA6NLw09EwE0CqkOc4q9oUmW1yo/edit?usp=sharing"",""เพชรบูรณ์!J241"")"),3176.08)</f>
        <v>3176.08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IFERROR(__xludf.DUMMYFUNCTION("IMPORTRANGE(""https://docs.google.com/spreadsheets/d/11923uPwbBZFjjGgGUA6NLw09EwE0CqkOc4q9oUmW1yo/edit?usp=sharing"",""เพชรบูรณ์!L242"")"),3075756)</f>
        <v>3075756</v>
      </c>
      <c r="M347" s="357"/>
      <c r="N347" s="357">
        <f ca="1">IFERROR(__xludf.DUMMYFUNCTION("IMPORTRANGE(""https://docs.google.com/spreadsheets/d/11923uPwbBZFjjGgGUA6NLw09EwE0CqkOc4q9oUmW1yo/edit?usp=sharing"",""เพชรบูรณ์!M242"")"),1709397.96)</f>
        <v>1709397.96</v>
      </c>
      <c r="O347" s="357">
        <f ca="1">+IF(L347&gt;0,N347*100/L347,0)</f>
        <v>55.576513871711541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IFERROR(__xludf.DUMMYFUNCTION("IMPORTRANGE(""https://docs.google.com/spreadsheets/d/11923uPwbBZFjjGgGUA6NLw09EwE0CqkOc4q9oUmW1yo/edit?usp=sharing"",""เพชรบูรณ์!M244"")"),607020)</f>
        <v>607020</v>
      </c>
      <c r="O349" s="372">
        <f ca="1">+IF(L349&gt;0,N349*100/L349,0)</f>
        <v>91.400779967777396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IFERROR(__xludf.DUMMYFUNCTION("IMPORTRANGE(""https://docs.google.com/spreadsheets/d/11923uPwbBZFjjGgGUA6NLw09EwE0CqkOc4q9oUmW1yo/edit?usp=sharing"",""เพชรบูรณ์!M247"")"),607020)</f>
        <v>607020</v>
      </c>
      <c r="O352" s="165">
        <f t="shared" ca="1" si="105"/>
        <v>91.400779967777396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IFERROR(__xludf.DUMMYFUNCTION("IMPORTRANGE(""https://docs.google.com/spreadsheets/d/11923uPwbBZFjjGgGUA6NLw09EwE0CqkOc4q9oUmW1yo/edit?usp=sharing"",""เพชรบูรณ์!M249"")"),607020)</f>
        <v>607020</v>
      </c>
      <c r="O354" s="168">
        <f t="shared" ca="1" si="105"/>
        <v>91.400779967777396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IFERROR(__xludf.DUMMYFUNCTION("IMPORTRANGE(""https://docs.google.com/spreadsheets/d/11923uPwbBZFjjGgGUA6NLw09EwE0CqkOc4q9oUmW1yo/edit?usp=sharing"",""เพชรบูรณ์!M250"")"),126390)</f>
        <v>126390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IFERROR(__xludf.DUMMYFUNCTION("IMPORTRANGE(""https://docs.google.com/spreadsheets/d/11923uPwbBZFjjGgGUA6NLw09EwE0CqkOc4q9oUmW1yo/edit?usp=sharing"",""เพชรบูรณ์!M251"")"),347500)</f>
        <v>347500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IFERROR(__xludf.DUMMYFUNCTION("IMPORTRANGE(""https://docs.google.com/spreadsheets/d/11923uPwbBZFjjGgGUA6NLw09EwE0CqkOc4q9oUmW1yo/edit?usp=sharing"",""เพชรบูรณ์!M252"")"),87248)</f>
        <v>87248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IFERROR(__xludf.DUMMYFUNCTION("IMPORTRANGE(""https://docs.google.com/spreadsheets/d/11923uPwbBZFjjGgGUA6NLw09EwE0CqkOc4q9oUmW1yo/edit?usp=sharing"",""เพชรบูรณ์!M253"")"),45882)</f>
        <v>45882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IFERROR(__xludf.DUMMYFUNCTION("IMPORTRANGE(""https://docs.google.com/spreadsheets/d/11923uPwbBZFjjGgGUA6NLw09EwE0CqkOc4q9oUmW1yo/edit?usp=sharing"",""เพชรบูรณ์!M275"")"),295546)</f>
        <v>295546</v>
      </c>
      <c r="O380" s="372">
        <f ca="1">+IF(L380&gt;0,N380*100/L380,0)</f>
        <v>28.735075642671024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IFERROR(__xludf.DUMMYFUNCTION("IMPORTRANGE(""https://docs.google.com/spreadsheets/d/11923uPwbBZFjjGgGUA6NLw09EwE0CqkOc4q9oUmW1yo/edit?usp=sharing"",""เพชรบูรณ์!M278"")"),295546)</f>
        <v>295546</v>
      </c>
      <c r="O383" s="165">
        <f t="shared" ca="1" si="109"/>
        <v>28.735075642671024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IFERROR(__xludf.DUMMYFUNCTION("IMPORTRANGE(""https://docs.google.com/spreadsheets/d/11923uPwbBZFjjGgGUA6NLw09EwE0CqkOc4q9oUmW1yo/edit?usp=sharing"",""เพชรบูรณ์!M280"")"),295546)</f>
        <v>295546</v>
      </c>
      <c r="O385" s="168">
        <f t="shared" ca="1" si="109"/>
        <v>28.735075642671024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IFERROR(__xludf.DUMMYFUNCTION("IMPORTRANGE(""https://docs.google.com/spreadsheets/d/11923uPwbBZFjjGgGUA6NLw09EwE0CqkOc4q9oUmW1yo/edit?usp=sharing"",""เพชรบูรณ์!M281"")"),174738)</f>
        <v>174738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IFERROR(__xludf.DUMMYFUNCTION("IMPORTRANGE(""https://docs.google.com/spreadsheets/d/11923uPwbBZFjjGgGUA6NLw09EwE0CqkOc4q9oUmW1yo/edit?usp=sharing"",""เพชรบูรณ์!M283"")"),76248)</f>
        <v>76248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IFERROR(__xludf.DUMMYFUNCTION("IMPORTRANGE(""https://docs.google.com/spreadsheets/d/11923uPwbBZFjjGgGUA6NLw09EwE0CqkOc4q9oUmW1yo/edit?usp=sharing"",""เพชรบูรณ์!M284"")"),44560)</f>
        <v>44560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IFERROR(__xludf.DUMMYFUNCTION("IMPORTRANGE(""https://docs.google.com/spreadsheets/d/11923uPwbBZFjjGgGUA6NLw09EwE0CqkOc4q9oUmW1yo/edit?usp=sharing"",""เพชรบูรณ์!M296"")"),222160)</f>
        <v>222160</v>
      </c>
      <c r="O401" s="372">
        <f ca="1">+IF(L401&gt;0,N401*100/L401,0)</f>
        <v>90.848123006461108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IFERROR(__xludf.DUMMYFUNCTION("IMPORTRANGE(""https://docs.google.com/spreadsheets/d/11923uPwbBZFjjGgGUA6NLw09EwE0CqkOc4q9oUmW1yo/edit?usp=sharing"",""เพชรบูรณ์!M299"")"),222160)</f>
        <v>222160</v>
      </c>
      <c r="O404" s="168">
        <f t="shared" ca="1" si="112"/>
        <v>90.848123006461108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IFERROR(__xludf.DUMMYFUNCTION("IMPORTRANGE(""https://docs.google.com/spreadsheets/d/11923uPwbBZFjjGgGUA6NLw09EwE0CqkOc4q9oUmW1yo/edit?usp=sharing"",""เพชรบูรณ์!M301"")"),222160)</f>
        <v>222160</v>
      </c>
      <c r="O406" s="168">
        <f t="shared" ca="1" si="112"/>
        <v>90.848123006461108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IFERROR(__xludf.DUMMYFUNCTION("IMPORTRANGE(""https://docs.google.com/spreadsheets/d/11923uPwbBZFjjGgGUA6NLw09EwE0CqkOc4q9oUmW1yo/edit?usp=sharing"",""เพชรบูรณ์!M305"")"),15660)</f>
        <v>15660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IFERROR(__xludf.DUMMYFUNCTION("IMPORTRANGE(""https://docs.google.com/spreadsheets/d/11923uPwbBZFjjGgGUA6NLw09EwE0CqkOc4q9oUmW1yo/edit?usp=sharing"",""เพชรบูรณ์!M330"")"),118269.5)</f>
        <v>118269.5</v>
      </c>
      <c r="O435" s="411">
        <f t="shared" ref="O435:O439" ca="1" si="114">+IF(L435&gt;0,N435*100/L435,0)</f>
        <v>73.005864197530869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IFERROR(__xludf.DUMMYFUNCTION("IMPORTRANGE(""https://docs.google.com/spreadsheets/d/11923uPwbBZFjjGgGUA6NLw09EwE0CqkOc4q9oUmW1yo/edit?usp=sharing"",""เพชรบูรณ์!M332"")"),118269.5)</f>
        <v>118269.5</v>
      </c>
      <c r="O437" s="168">
        <f t="shared" ca="1" si="114"/>
        <v>73.005864197530869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IFERROR(__xludf.DUMMYFUNCTION("IMPORTRANGE(""https://docs.google.com/spreadsheets/d/11923uPwbBZFjjGgGUA6NLw09EwE0CqkOc4q9oUmW1yo/edit?usp=sharing"",""เพชรบูรณ์!M334"")"),118269.5)</f>
        <v>118269.5</v>
      </c>
      <c r="O439" s="168">
        <f t="shared" ca="1" si="114"/>
        <v>73.005864197530869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IFERROR(__xludf.DUMMYFUNCTION("IMPORTRANGE(""https://docs.google.com/spreadsheets/d/11923uPwbBZFjjGgGUA6NLw09EwE0CqkOc4q9oUmW1yo/edit?usp=sharing"",""เพชรบูรณ์!M338"")"),25110)</f>
        <v>25110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IFERROR(__xludf.DUMMYFUNCTION("IMPORTRANGE(""https://docs.google.com/spreadsheets/d/11923uPwbBZFjjGgGUA6NLw09EwE0CqkOc4q9oUmW1yo/edit?usp=sharing"",""เพชรบูรณ์!M350"")"),125442)</f>
        <v>125442</v>
      </c>
      <c r="O455" s="372">
        <f t="shared" ref="O455:O459" ca="1" si="116">+IF(L455&gt;0,N455*100/L455,0)</f>
        <v>29.120006685609226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IFERROR(__xludf.DUMMYFUNCTION("IMPORTRANGE(""https://docs.google.com/spreadsheets/d/11923uPwbBZFjjGgGUA6NLw09EwE0CqkOc4q9oUmW1yo/edit?usp=sharing"",""เพชรบูรณ์!M352"")"),125442)</f>
        <v>125442</v>
      </c>
      <c r="O457" s="168">
        <f t="shared" ca="1" si="116"/>
        <v>29.120006685609226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IFERROR(__xludf.DUMMYFUNCTION("IMPORTRANGE(""https://docs.google.com/spreadsheets/d/11923uPwbBZFjjGgGUA6NLw09EwE0CqkOc4q9oUmW1yo/edit?usp=sharing"",""เพชรบูรณ์!M354"")"),125442)</f>
        <v>125442</v>
      </c>
      <c r="O459" s="168">
        <f t="shared" ca="1" si="116"/>
        <v>29.120006685609226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IFERROR(__xludf.DUMMYFUNCTION("IMPORTRANGE(""https://docs.google.com/spreadsheets/d/11923uPwbBZFjjGgGUA6NLw09EwE0CqkOc4q9oUmW1yo/edit?usp=sharing"",""เพชรบูรณ์!M358"")"),125442)</f>
        <v>125442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IFERROR(__xludf.DUMMYFUNCTION("IMPORTRANGE(""https://docs.google.com/spreadsheets/d/11923uPwbBZFjjGgGUA6NLw09EwE0CqkOc4q9oUmW1yo/edit?usp=sharing"",""เพชรบูรณ์!J392"")"),1140)</f>
        <v>1140</v>
      </c>
      <c r="K497" s="444">
        <f t="shared" ca="1" si="117"/>
        <v>34.040011943863838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IFERROR(__xludf.DUMMYFUNCTION("IMPORTRANGE(""https://docs.google.com/spreadsheets/d/11923uPwbBZFjjGgGUA6NLw09EwE0CqkOc4q9oUmW1yo/edit?usp=sharing"",""เพชรบูรณ์!J393"")"),1140)</f>
        <v>1140</v>
      </c>
      <c r="K498" s="201">
        <f t="shared" ca="1" si="117"/>
        <v>34.040011943863838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IFERROR(__xludf.DUMMYFUNCTION("IMPORTRANGE(""https://docs.google.com/spreadsheets/d/11923uPwbBZFjjGgGUA6NLw09EwE0CqkOc4q9oUmW1yo/edit?usp=sharing"",""เพชรบูรณ์!J394"")"),92)</f>
        <v>92</v>
      </c>
      <c r="K499" s="201">
        <f t="shared" ca="1" si="117"/>
        <v>32.740213523131672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IFERROR(__xludf.DUMMYFUNCTION("IMPORTRANGE(""https://docs.google.com/spreadsheets/d/11923uPwbBZFjjGgGUA6NLw09EwE0CqkOc4q9oUmW1yo/edit?usp=sharing"",""เพชรบูรณ์!J395"")"),1106)</f>
        <v>1106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IFERROR(__xludf.DUMMYFUNCTION("IMPORTRANGE(""https://docs.google.com/spreadsheets/d/11923uPwbBZFjjGgGUA6NLw09EwE0CqkOc4q9oUmW1yo/edit?usp=sharing"",""เพชรบูรณ์!J396"")"),87)</f>
        <v>87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IFERROR(__xludf.DUMMYFUNCTION("IMPORTRANGE(""https://docs.google.com/spreadsheets/d/11923uPwbBZFjjGgGUA6NLw09EwE0CqkOc4q9oUmW1yo/edit?usp=sharing"",""เพชรบูรณ์!J397"")"),1025)</f>
        <v>1025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IFERROR(__xludf.DUMMYFUNCTION("IMPORTRANGE(""https://docs.google.com/spreadsheets/d/11923uPwbBZFjjGgGUA6NLw09EwE0CqkOc4q9oUmW1yo/edit?usp=sharing"",""เพชรบูรณ์!J398"")"),80)</f>
        <v>80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IFERROR(__xludf.DUMMYFUNCTION("IMPORTRANGE(""https://docs.google.com/spreadsheets/d/11923uPwbBZFjjGgGUA6NLw09EwE0CqkOc4q9oUmW1yo/edit?usp=sharing"",""เพชรบูรณ์!M428"")"),17161)</f>
        <v>17161</v>
      </c>
      <c r="O533" s="411">
        <f t="shared" ref="O533:O537" ca="1" si="118">+IF(L533&gt;0,N533*100/L533,0)</f>
        <v>49.973791496796736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IFERROR(__xludf.DUMMYFUNCTION("IMPORTRANGE(""https://docs.google.com/spreadsheets/d/11923uPwbBZFjjGgGUA6NLw09EwE0CqkOc4q9oUmW1yo/edit?usp=sharing"",""เพชรบูรณ์!M430"")"),17161)</f>
        <v>17161</v>
      </c>
      <c r="O535" s="168">
        <f t="shared" ca="1" si="118"/>
        <v>49.973791496796736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IFERROR(__xludf.DUMMYFUNCTION("IMPORTRANGE(""https://docs.google.com/spreadsheets/d/11923uPwbBZFjjGgGUA6NLw09EwE0CqkOc4q9oUmW1yo/edit?usp=sharing"",""เพชรบูรณ์!M432"")"),17161)</f>
        <v>17161</v>
      </c>
      <c r="O537" s="168">
        <f t="shared" ca="1" si="118"/>
        <v>49.973791496796736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IFERROR(__xludf.DUMMYFUNCTION("IMPORTRANGE(""https://docs.google.com/spreadsheets/d/11923uPwbBZFjjGgGUA6NLw09EwE0CqkOc4q9oUmW1yo/edit?usp=sharing"",""เพชรบูรณ์!M436"")"),0)</f>
        <v>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IFERROR(__xludf.DUMMYFUNCTION("IMPORTRANGE(""https://docs.google.com/spreadsheets/d/11923uPwbBZFjjGgGUA6NLw09EwE0CqkOc4q9oUmW1yo/edit?usp=sharing"",""เพชรบูรณ์!J459"")"),7511)</f>
        <v>7511</v>
      </c>
      <c r="K564" s="371">
        <f ca="1">IF(I564&gt;0,J564*100/I564,0)</f>
        <v>195.09090909090909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IFERROR(__xludf.DUMMYFUNCTION("IMPORTRANGE(""https://docs.google.com/spreadsheets/d/11923uPwbBZFjjGgGUA6NLw09EwE0CqkOc4q9oUmW1yo/edit?usp=sharing"",""เพชรบูรณ์!M459"")"),111187.459999999)</f>
        <v>111187.459999999</v>
      </c>
      <c r="O564" s="372">
        <f t="shared" ref="O564:O568" ca="1" si="122">+IF(L564&gt;0,N564*100/L564,0)</f>
        <v>70.729936386767804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IFERROR(__xludf.DUMMYFUNCTION("IMPORTRANGE(""https://docs.google.com/spreadsheets/d/11923uPwbBZFjjGgGUA6NLw09EwE0CqkOc4q9oUmW1yo/edit?usp=sharing"",""เพชรบูรณ์!M461"")"),111187.459999999)</f>
        <v>111187.459999999</v>
      </c>
      <c r="O566" s="168">
        <f t="shared" ca="1" si="122"/>
        <v>70.729936386767804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IFERROR(__xludf.DUMMYFUNCTION("IMPORTRANGE(""https://docs.google.com/spreadsheets/d/11923uPwbBZFjjGgGUA6NLw09EwE0CqkOc4q9oUmW1yo/edit?usp=sharing"",""เพชรบูรณ์!M463"")"),111187.459999999)</f>
        <v>111187.459999999</v>
      </c>
      <c r="O568" s="168">
        <f t="shared" ca="1" si="122"/>
        <v>70.729936386767804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IFERROR(__xludf.DUMMYFUNCTION("IMPORTRANGE(""https://docs.google.com/spreadsheets/d/11923uPwbBZFjjGgGUA6NLw09EwE0CqkOc4q9oUmW1yo/edit?usp=sharing"",""เพชรบูรณ์!M466"")"),83914)</f>
        <v>83914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IFERROR(__xludf.DUMMYFUNCTION("IMPORTRANGE(""https://docs.google.com/spreadsheets/d/11923uPwbBZFjjGgGUA6NLw09EwE0CqkOc4q9oUmW1yo/edit?usp=sharing"",""เพชรบูรณ์!M467"")"),27273.46)</f>
        <v>27273.46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IFERROR(__xludf.DUMMYFUNCTION("IMPORTRANGE(""https://docs.google.com/spreadsheets/d/11923uPwbBZFjjGgGUA6NLw09EwE0CqkOc4q9oUmW1yo/edit?usp=sharing"",""เพชรบูรณ์!J468"")"),7511)</f>
        <v>7511</v>
      </c>
      <c r="K573" s="201">
        <f ca="1">IF(I573&gt;0,J573*100/I573,0)</f>
        <v>195.09090909090909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IFERROR(__xludf.DUMMYFUNCTION("IMPORTRANGE(""https://docs.google.com/spreadsheets/d/11923uPwbBZFjjGgGUA6NLw09EwE0CqkOc4q9oUmW1yo/edit?usp=sharing"",""เพชรบูรณ์!J471"")"),638)</f>
        <v>638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IFERROR(__xludf.DUMMYFUNCTION("IMPORTRANGE(""https://docs.google.com/spreadsheets/d/11923uPwbBZFjjGgGUA6NLw09EwE0CqkOc4q9oUmW1yo/edit?usp=sharing"",""เพชรบูรณ์!J472"")"),6742)</f>
        <v>6742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IFERROR(__xludf.DUMMYFUNCTION("IMPORTRANGE(""https://docs.google.com/spreadsheets/d/11923uPwbBZFjjGgGUA6NLw09EwE0CqkOc4q9oUmW1yo/edit?usp=sharing"",""เพชรบูรณ์!J473"")"),35)</f>
        <v>35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IFERROR(__xludf.DUMMYFUNCTION("IMPORTRANGE(""https://docs.google.com/spreadsheets/d/11923uPwbBZFjjGgGUA6NLw09EwE0CqkOc4q9oUmW1yo/edit?usp=sharing"",""เพชรบูรณ์!J474"")"),96)</f>
        <v>96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IFERROR(__xludf.DUMMYFUNCTION("IMPORTRANGE(""https://docs.google.com/spreadsheets/d/11923uPwbBZFjjGgGUA6NLw09EwE0CqkOc4q9oUmW1yo/edit?usp=sharing"",""เพชรบูรณ์!I475"")"),300)</f>
        <v>300</v>
      </c>
      <c r="J580" s="370">
        <f ca="1">IFERROR(__xludf.DUMMYFUNCTION("IMPORTRANGE(""https://docs.google.com/spreadsheets/d/11923uPwbBZFjjGgGUA6NLw09EwE0CqkOc4q9oUmW1yo/edit?usp=sharing"",""เพชรบูรณ์!J475"")"),37)</f>
        <v>37</v>
      </c>
      <c r="K580" s="371">
        <f ca="1">IF(I580&gt;0,J580*100/I580,0)</f>
        <v>12.333333333333334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IFERROR(__xludf.DUMMYFUNCTION("IMPORTRANGE(""https://docs.google.com/spreadsheets/d/11923uPwbBZFjjGgGUA6NLw09EwE0CqkOc4q9oUmW1yo/edit?usp=sharing"",""เพชรบูรณ์!M475"")"),212162)</f>
        <v>212162</v>
      </c>
      <c r="O580" s="372">
        <f t="shared" ref="O580:O584" ca="1" si="124">+IF(L580&gt;0,N580*100/L580,0)</f>
        <v>61.150598068886005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IFERROR(__xludf.DUMMYFUNCTION("IMPORTRANGE(""https://docs.google.com/spreadsheets/d/11923uPwbBZFjjGgGUA6NLw09EwE0CqkOc4q9oUmW1yo/edit?usp=sharing"",""เพชรบูรณ์!M477"")"),212162)</f>
        <v>212162</v>
      </c>
      <c r="O582" s="168">
        <f t="shared" ca="1" si="124"/>
        <v>61.150598068886005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IFERROR(__xludf.DUMMYFUNCTION("IMPORTRANGE(""https://docs.google.com/spreadsheets/d/11923uPwbBZFjjGgGUA6NLw09EwE0CqkOc4q9oUmW1yo/edit?usp=sharing"",""เพชรบูรณ์!M479"")"),212162)</f>
        <v>212162</v>
      </c>
      <c r="O584" s="168">
        <f t="shared" ca="1" si="124"/>
        <v>61.150598068886005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IFERROR(__xludf.DUMMYFUNCTION("IMPORTRANGE(""https://docs.google.com/spreadsheets/d/11923uPwbBZFjjGgGUA6NLw09EwE0CqkOc4q9oUmW1yo/edit?usp=sharing"",""เพชรบูรณ์!M482"")"),70026)</f>
        <v>70026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IFERROR(__xludf.DUMMYFUNCTION("IMPORTRANGE(""https://docs.google.com/spreadsheets/d/11923uPwbBZFjjGgGUA6NLw09EwE0CqkOc4q9oUmW1yo/edit?usp=sharing"",""เพชรบูรณ์!M483"")"),142136)</f>
        <v>142136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IFERROR(__xludf.DUMMYFUNCTION("IMPORTRANGE(""https://docs.google.com/spreadsheets/d/11923uPwbBZFjjGgGUA6NLw09EwE0CqkOc4q9oUmW1yo/edit?usp=sharing"",""เพชรบูรณ์!I484"")"),300)</f>
        <v>300</v>
      </c>
      <c r="J589" s="187">
        <f ca="1">IFERROR(__xludf.DUMMYFUNCTION("IMPORTRANGE(""https://docs.google.com/spreadsheets/d/11923uPwbBZFjjGgGUA6NLw09EwE0CqkOc4q9oUmW1yo/edit?usp=sharing"",""เพชรบูรณ์!J484"")"),169)</f>
        <v>169</v>
      </c>
      <c r="K589" s="163">
        <f t="shared" ref="K589:K596" ca="1" si="125">IF(I589&gt;0,J589*100/I589,0)</f>
        <v>56.333333333333336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IFERROR(__xludf.DUMMYFUNCTION("IMPORTRANGE(""https://docs.google.com/spreadsheets/d/11923uPwbBZFjjGgGUA6NLw09EwE0CqkOc4q9oUmW1yo/edit?usp=sharing"",""เพชรบูรณ์!J485"")"),107)</f>
        <v>107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IFERROR(__xludf.DUMMYFUNCTION("IMPORTRANGE(""https://docs.google.com/spreadsheets/d/11923uPwbBZFjjGgGUA6NLw09EwE0CqkOc4q9oUmW1yo/edit?usp=sharing"",""เพชรบูรณ์!I486"")"),300)</f>
        <v>300</v>
      </c>
      <c r="J591" s="187">
        <f ca="1">IFERROR(__xludf.DUMMYFUNCTION("IMPORTRANGE(""https://docs.google.com/spreadsheets/d/11923uPwbBZFjjGgGUA6NLw09EwE0CqkOc4q9oUmW1yo/edit?usp=sharing"",""เพชรบูรณ์!J486"")"),163)</f>
        <v>163</v>
      </c>
      <c r="K591" s="163">
        <f t="shared" ca="1" si="125"/>
        <v>54.333333333333336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IFERROR(__xludf.DUMMYFUNCTION("IMPORTRANGE(""https://docs.google.com/spreadsheets/d/11923uPwbBZFjjGgGUA6NLw09EwE0CqkOc4q9oUmW1yo/edit?usp=sharing"",""เพชรบูรณ์!J487"")"),85.87)</f>
        <v>85.87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IFERROR(__xludf.DUMMYFUNCTION("IMPORTRANGE(""https://docs.google.com/spreadsheets/d/11923uPwbBZFjjGgGUA6NLw09EwE0CqkOc4q9oUmW1yo/edit?usp=sharing"",""เพชรบูรณ์!I488"")"),300)</f>
        <v>300</v>
      </c>
      <c r="J593" s="187">
        <f ca="1">IFERROR(__xludf.DUMMYFUNCTION("IMPORTRANGE(""https://docs.google.com/spreadsheets/d/11923uPwbBZFjjGgGUA6NLw09EwE0CqkOc4q9oUmW1yo/edit?usp=sharing"",""เพชรบูรณ์!J488"")"),0)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IFERROR(__xludf.DUMMYFUNCTION("IMPORTRANGE(""https://docs.google.com/spreadsheets/d/11923uPwbBZFjjGgGUA6NLw09EwE0CqkOc4q9oUmW1yo/edit?usp=sharing"",""เพชรบูรณ์!I490"")"),300)</f>
        <v>300</v>
      </c>
      <c r="J595" s="187">
        <f ca="1">IFERROR(__xludf.DUMMYFUNCTION("IMPORTRANGE(""https://docs.google.com/spreadsheets/d/11923uPwbBZFjjGgGUA6NLw09EwE0CqkOc4q9oUmW1yo/edit?usp=sharing"",""เพชรบูรณ์!J490"")"),37)</f>
        <v>37</v>
      </c>
      <c r="K595" s="163">
        <f t="shared" ca="1" si="125"/>
        <v>12.333333333333334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IFERROR(__xludf.DUMMYFUNCTION("IMPORTRANGE(""https://docs.google.com/spreadsheets/d/11923uPwbBZFjjGgGUA6NLw09EwE0CqkOc4q9oUmW1yo/edit?usp=sharing"",""เพชรบูรณ์!J491"")"),22.07)</f>
        <v>22.07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7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41">
        <f ca="1">IFERROR(__xludf.DUMMYFUNCTION("IMPORTRANGE(""https://docs.google.com/spreadsheets/d/11923uPwbBZFjjGgGUA6NLw09EwE0CqkOc4q9oUmW1yo/edit?usp=sharing"",""เพชรบูรณ์!J523"")"),7917592.77)</f>
        <v>7917592.7699999996</v>
      </c>
      <c r="K628" s="342">
        <f t="shared" ref="K628:K635" ca="1" si="129">IF(I628&gt;0,J628*100/I628,0)</f>
        <v>39.561330687445249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IFERROR(__xludf.DUMMYFUNCTION("IMPORTRANGE(""https://docs.google.com/spreadsheets/d/11923uPwbBZFjjGgGUA6NLw09EwE0CqkOc4q9oUmW1yo/edit?usp=sharing"",""เพชรบูรณ์!J524"")"),234)</f>
        <v>234</v>
      </c>
      <c r="K629" s="342">
        <f t="shared" ca="1" si="129"/>
        <v>35.779816513761467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IFERROR(__xludf.DUMMYFUNCTION("IMPORTRANGE(""https://docs.google.com/spreadsheets/d/11923uPwbBZFjjGgGUA6NLw09EwE0CqkOc4q9oUmW1yo/edit?usp=sharing"",""เพชรบูรณ์!J525"")"),733697.42)</f>
        <v>733697.42</v>
      </c>
      <c r="K630" s="342">
        <f t="shared" ca="1" si="129"/>
        <v>2.6179193577110333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IFERROR(__xludf.DUMMYFUNCTION("IMPORTRANGE(""https://docs.google.com/spreadsheets/d/11923uPwbBZFjjGgGUA6NLw09EwE0CqkOc4q9oUmW1yo/edit?usp=sharing"",""เพชรบูรณ์!J526"")"),221)</f>
        <v>221</v>
      </c>
      <c r="K631" s="342">
        <f t="shared" ca="1" si="129"/>
        <v>21.477162293488824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IFERROR(__xludf.DUMMYFUNCTION("IMPORTRANGE(""https://docs.google.com/spreadsheets/d/11923uPwbBZFjjGgGUA6NLw09EwE0CqkOc4q9oUmW1yo/edit?usp=sharing"",""เพชรบูรณ์!J527"")"),353930.27)</f>
        <v>353930.27</v>
      </c>
      <c r="K632" s="342">
        <f t="shared" ca="1" si="129"/>
        <v>13.394689286968001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IFERROR(__xludf.DUMMYFUNCTION("IMPORTRANGE(""https://docs.google.com/spreadsheets/d/11923uPwbBZFjjGgGUA6NLw09EwE0CqkOc4q9oUmW1yo/edit?usp=sharing"",""เพชรบูรณ์!J528"")"),69)</f>
        <v>69</v>
      </c>
      <c r="K633" s="342">
        <f t="shared" ca="1" si="129"/>
        <v>51.879699248120303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IFERROR(__xludf.DUMMYFUNCTION("IMPORTRANGE(""https://docs.google.com/spreadsheets/d/11923uPwbBZFjjGgGUA6NLw09EwE0CqkOc4q9oUmW1yo/edit?usp=sharing"",""เพชรบูรณ์!J529"")"),7488000)</f>
        <v>7488000</v>
      </c>
      <c r="K634" s="342">
        <f t="shared" ca="1" si="129"/>
        <v>62.4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IFERROR(__xludf.DUMMYFUNCTION("IMPORTRANGE(""https://docs.google.com/spreadsheets/d/11923uPwbBZFjjGgGUA6NLw09EwE0CqkOc4q9oUmW1yo/edit?usp=sharing"",""เพชรบูรณ์!I530"")"),300)</f>
        <v>300</v>
      </c>
      <c r="J635" s="504">
        <f ca="1">IFERROR(__xludf.DUMMYFUNCTION("IMPORTRANGE(""https://docs.google.com/spreadsheets/d/11923uPwbBZFjjGgGUA6NLw09EwE0CqkOc4q9oUmW1yo/edit?usp=sharing"",""เพชรบูรณ์!J530"")"),218)</f>
        <v>218</v>
      </c>
      <c r="K635" s="486">
        <f t="shared" ca="1" si="129"/>
        <v>72.666666666666671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3880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3880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3880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IFERROR(__xludf.DUMMYFUNCTION("IMPORTRANGE(""https://docs.google.com/spreadsheets/d/11923uPwbBZFjjGgGUA6NLw09EwE0CqkOc4q9oUmW1yo/edit?usp=sharing"",""เพชรบูรณ์!J541"")"),0)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IFERROR(__xludf.DUMMYFUNCTION("IMPORTRANGE(""https://docs.google.com/spreadsheets/d/11923uPwbBZFjjGgGUA6NLw09EwE0CqkOc4q9oUmW1yo/edit?usp=sharing"",""เพชรบูรณ์!J542"")"),0)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IFERROR(__xludf.DUMMYFUNCTION("IMPORTRANGE(""https://docs.google.com/spreadsheets/d/11923uPwbBZFjjGgGUA6NLw09EwE0CqkOc4q9oUmW1yo/edit?usp=sharing"",""เพชรบูรณ์!I543"")"),38)</f>
        <v>38</v>
      </c>
      <c r="J648" s="535">
        <f ca="1">IFERROR(__xludf.DUMMYFUNCTION("IMPORTRANGE(""https://docs.google.com/spreadsheets/d/11923uPwbBZFjjGgGUA6NLw09EwE0CqkOc4q9oUmW1yo/edit?usp=sharing"",""เพชรบูรณ์!J543"")"),0)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IFERROR(__xludf.DUMMYFUNCTION("IMPORTRANGE(""https://docs.google.com/spreadsheets/d/11923uPwbBZFjjGgGUA6NLw09EwE0CqkOc4q9oUmW1yo/edit?usp=sharing"",""เพชรบูรณ์!L543"")"),3040)</f>
        <v>3040</v>
      </c>
      <c r="M648" s="520"/>
      <c r="N648" s="537">
        <f ca="1">IFERROR(__xludf.DUMMYFUNCTION("IMPORTRANGE(""https://docs.google.com/spreadsheets/d/11923uPwbBZFjjGgGUA6NLw09EwE0CqkOc4q9oUmW1yo/edit?usp=sharing"",""เพชรบูรณ์!M543"")"),0)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IFERROR(__xludf.DUMMYFUNCTION("IMPORTRANGE(""https://docs.google.com/spreadsheets/d/11923uPwbBZFjjGgGUA6NLw09EwE0CqkOc4q9oUmW1yo/edit?usp=sharing"",""เพชรบูรณ์!I544"")"),4)</f>
        <v>4</v>
      </c>
      <c r="J649" s="535">
        <f ca="1">IFERROR(__xludf.DUMMYFUNCTION("IMPORTRANGE(""https://docs.google.com/spreadsheets/d/11923uPwbBZFjjGgGUA6NLw09EwE0CqkOc4q9oUmW1yo/edit?usp=sharing"",""เพชรบูรณ์!J544"")"),0)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IFERROR(__xludf.DUMMYFUNCTION("IMPORTRANGE(""https://docs.google.com/spreadsheets/d/11923uPwbBZFjjGgGUA6NLw09EwE0CqkOc4q9oUmW1yo/edit?usp=sharing"",""เพชรบูรณ์!L544"")"),480)</f>
        <v>480</v>
      </c>
      <c r="M649" s="520"/>
      <c r="N649" s="537">
        <f ca="1">IFERROR(__xludf.DUMMYFUNCTION("IMPORTRANGE(""https://docs.google.com/spreadsheets/d/11923uPwbBZFjjGgGUA6NLw09EwE0CqkOc4q9oUmW1yo/edit?usp=sharing"",""เพชรบูรณ์!M544"")"),0)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IFERROR(__xludf.DUMMYFUNCTION("IMPORTRANGE(""https://docs.google.com/spreadsheets/d/11923uPwbBZFjjGgGUA6NLw09EwE0CqkOc4q9oUmW1yo/edit?usp=sharing"",""เพชรบูรณ์!I545"")"),0)</f>
        <v>0</v>
      </c>
      <c r="J650" s="535">
        <f ca="1">IFERROR(__xludf.DUMMYFUNCTION("IMPORTRANGE(""https://docs.google.com/spreadsheets/d/11923uPwbBZFjjGgGUA6NLw09EwE0CqkOc4q9oUmW1yo/edit?usp=sharing"",""เพชรบูรณ์!J545"")"),0)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IFERROR(__xludf.DUMMYFUNCTION("IMPORTRANGE(""https://docs.google.com/spreadsheets/d/11923uPwbBZFjjGgGUA6NLw09EwE0CqkOc4q9oUmW1yo/edit?usp=sharing"",""เพชรบูรณ์!L545"")"),0)</f>
        <v>0</v>
      </c>
      <c r="M650" s="520"/>
      <c r="N650" s="537">
        <f ca="1">IFERROR(__xludf.DUMMYFUNCTION("IMPORTRANGE(""https://docs.google.com/spreadsheets/d/11923uPwbBZFjjGgGUA6NLw09EwE0CqkOc4q9oUmW1yo/edit?usp=sharing"",""เพชรบูรณ์!M545"")"),0)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IFERROR(__xludf.DUMMYFUNCTION("IMPORTRANGE(""https://docs.google.com/spreadsheets/d/11923uPwbBZFjjGgGUA6NLw09EwE0CqkOc4q9oUmW1yo/edit?usp=sharing"",""เพชรบูรณ์!I546"")"),0)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IFERROR(__xludf.DUMMYFUNCTION("IMPORTRANGE(""https://docs.google.com/spreadsheets/d/11923uPwbBZFjjGgGUA6NLw09EwE0CqkOc4q9oUmW1yo/edit?usp=sharing"",""เพชรบูรณ์!L546"")"),0)</f>
        <v>0</v>
      </c>
      <c r="M651" s="520"/>
      <c r="N651" s="537">
        <f ca="1">IFERROR(__xludf.DUMMYFUNCTION("IMPORTRANGE(""https://docs.google.com/spreadsheets/d/11923uPwbBZFjjGgGUA6NLw09EwE0CqkOc4q9oUmW1yo/edit?usp=sharing"",""เพชรบูรณ์!M546"")"),0)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IFERROR(__xludf.DUMMYFUNCTION("IMPORTRANGE(""https://docs.google.com/spreadsheets/d/11923uPwbBZFjjGgGUA6NLw09EwE0CqkOc4q9oUmW1yo/edit?usp=sharing"",""เพชรบูรณ์!J547"")"),0)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IFERROR(__xludf.DUMMYFUNCTION("IMPORTRANGE(""https://docs.google.com/spreadsheets/d/11923uPwbBZFjjGgGUA6NLw09EwE0CqkOc4q9oUmW1yo/edit?usp=sharing"",""เพชรบูรณ์!J548"")"),0)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IFERROR(__xludf.DUMMYFUNCTION("IMPORTRANGE(""https://docs.google.com/spreadsheets/d/11923uPwbBZFjjGgGUA6NLw09EwE0CqkOc4q9oUmW1yo/edit?usp=sharing"",""เพชรบูรณ์!J550"")"),0)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IFERROR(__xludf.DUMMYFUNCTION("IMPORTRANGE(""https://docs.google.com/spreadsheets/d/11923uPwbBZFjjGgGUA6NLw09EwE0CqkOc4q9oUmW1yo/edit?usp=sharing"",""เพชรบูรณ์!J551"")"),0)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IFERROR(__xludf.DUMMYFUNCTION("IMPORTRANGE(""https://docs.google.com/spreadsheets/d/11923uPwbBZFjjGgGUA6NLw09EwE0CqkOc4q9oUmW1yo/edit?usp=sharing"",""เพชรบูรณ์!J552"")"),0)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IFERROR(__xludf.DUMMYFUNCTION("IMPORTRANGE(""https://docs.google.com/spreadsheets/d/11923uPwbBZFjjGgGUA6NLw09EwE0CqkOc4q9oUmW1yo/edit?usp=sharing"",""เพชรบูรณ์!J553"")"),0)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IFERROR(__xludf.DUMMYFUNCTION("IMPORTRANGE(""https://docs.google.com/spreadsheets/d/11923uPwbBZFjjGgGUA6NLw09EwE0CqkOc4q9oUmW1yo/edit?usp=sharing"",""เพชรบูรณ์!J554"")"),0)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IFERROR(__xludf.DUMMYFUNCTION("IMPORTRANGE(""https://docs.google.com/spreadsheets/d/11923uPwbBZFjjGgGUA6NLw09EwE0CqkOc4q9oUmW1yo/edit?usp=sharing"",""เพชรบูรณ์!J555"")"),0)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IFERROR(__xludf.DUMMYFUNCTION("IMPORTRANGE(""https://docs.google.com/spreadsheets/d/11923uPwbBZFjjGgGUA6NLw09EwE0CqkOc4q9oUmW1yo/edit?usp=sharing"",""เพชรบูรณ์!J556"")"),0)</f>
        <v>0</v>
      </c>
      <c r="K661" s="536"/>
      <c r="L661" s="521">
        <f ca="1">IFERROR(__xludf.DUMMYFUNCTION("IMPORTRANGE(""https://docs.google.com/spreadsheets/d/11923uPwbBZFjjGgGUA6NLw09EwE0CqkOc4q9oUmW1yo/edit?usp=sharing"",""เพชรบูรณ์!L556"")"),0)</f>
        <v>0</v>
      </c>
      <c r="M661" s="520"/>
      <c r="N661" s="537">
        <f ca="1">IFERROR(__xludf.DUMMYFUNCTION("IMPORTRANGE(""https://docs.google.com/spreadsheets/d/11923uPwbBZFjjGgGUA6NLw09EwE0CqkOc4q9oUmW1yo/edit?usp=sharing"",""เพชรบูรณ์!M556"")"),0)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IFERROR(__xludf.DUMMYFUNCTION("IMPORTRANGE(""https://docs.google.com/spreadsheets/d/11923uPwbBZFjjGgGUA6NLw09EwE0CqkOc4q9oUmW1yo/edit?usp=sharing"",""เพชรบูรณ์!J557"")"),0)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IFERROR(__xludf.DUMMYFUNCTION("IMPORTRANGE(""https://docs.google.com/spreadsheets/d/11923uPwbBZFjjGgGUA6NLw09EwE0CqkOc4q9oUmW1yo/edit?usp=sharing"",""เพชรบูรณ์!I558"")"),0)</f>
        <v>0</v>
      </c>
      <c r="J663" s="535">
        <f ca="1">IFERROR(__xludf.DUMMYFUNCTION("IMPORTRANGE(""https://docs.google.com/spreadsheets/d/11923uPwbBZFjjGgGUA6NLw09EwE0CqkOc4q9oUmW1yo/edit?usp=sharing"",""เพชรบูรณ์!J558"")"),0)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IFERROR(__xludf.DUMMYFUNCTION("IMPORTRANGE(""https://docs.google.com/spreadsheets/d/11923uPwbBZFjjGgGUA6NLw09EwE0CqkOc4q9oUmW1yo/edit?usp=sharing"",""เพชรบูรณ์!I560"")"),3)</f>
        <v>3</v>
      </c>
      <c r="J665" s="535">
        <f ca="1">IFERROR(__xludf.DUMMYFUNCTION("IMPORTRANGE(""https://docs.google.com/spreadsheets/d/11923uPwbBZFjjGgGUA6NLw09EwE0CqkOc4q9oUmW1yo/edit?usp=sharing"",""เพชรบูรณ์!J560"")"),0)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IFERROR(__xludf.DUMMYFUNCTION("IMPORTRANGE(""https://docs.google.com/spreadsheets/d/11923uPwbBZFjjGgGUA6NLw09EwE0CqkOc4q9oUmW1yo/edit?usp=sharing"",""เพชรบูรณ์!L560"")"),360)</f>
        <v>360</v>
      </c>
      <c r="M665" s="520"/>
      <c r="N665" s="537">
        <f ca="1">IFERROR(__xludf.DUMMYFUNCTION("IMPORTRANGE(""https://docs.google.com/spreadsheets/d/11923uPwbBZFjjGgGUA6NLw09EwE0CqkOc4q9oUmW1yo/edit?usp=sharing"",""เพชรบูรณ์!M560"")"),0)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IFERROR(__xludf.DUMMYFUNCTION("IMPORTRANGE(""https://docs.google.com/spreadsheets/d/11923uPwbBZFjjGgGUA6NLw09EwE0CqkOc4q9oUmW1yo/edit?usp=sharing"",""เพชรบูรณ์!J561"")"),0)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IFERROR(__xludf.DUMMYFUNCTION("IMPORTRANGE(""https://docs.google.com/spreadsheets/d/11923uPwbBZFjjGgGUA6NLw09EwE0CqkOc4q9oUmW1yo/edit?usp=sharing"",""เพชรบูรณ์!J562"")"),0)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IFERROR(__xludf.DUMMYFUNCTION("IMPORTRANGE(""https://docs.google.com/spreadsheets/d/11923uPwbBZFjjGgGUA6NLw09EwE0CqkOc4q9oUmW1yo/edit?usp=sharing"",""เพชรบูรณ์!I563"")"),0)</f>
        <v>0</v>
      </c>
      <c r="J668" s="535">
        <f ca="1">IFERROR(__xludf.DUMMYFUNCTION("IMPORTRANGE(""https://docs.google.com/spreadsheets/d/11923uPwbBZFjjGgGUA6NLw09EwE0CqkOc4q9oUmW1yo/edit?usp=sharing"",""เพชรบูรณ์!J563"")"),0)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IFERROR(__xludf.DUMMYFUNCTION("IMPORTRANGE(""https://docs.google.com/spreadsheets/d/11923uPwbBZFjjGgGUA6NLw09EwE0CqkOc4q9oUmW1yo/edit?usp=sharing"",""เพชรบูรณ์!L563"")"),0)</f>
        <v>0</v>
      </c>
      <c r="M668" s="520"/>
      <c r="N668" s="537">
        <f ca="1">IFERROR(__xludf.DUMMYFUNCTION("IMPORTRANGE(""https://docs.google.com/spreadsheets/d/11923uPwbBZFjjGgGUA6NLw09EwE0CqkOc4q9oUmW1yo/edit?usp=sharing"",""เพชรบูรณ์!M563"")"),0)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IFERROR(__xludf.DUMMYFUNCTION("IMPORTRANGE(""https://docs.google.com/spreadsheets/d/11923uPwbBZFjjGgGUA6NLw09EwE0CqkOc4q9oUmW1yo/edit?usp=sharing"",""เพชรบูรณ์!J564"")"),0)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IFERROR(__xludf.DUMMYFUNCTION("IMPORTRANGE(""https://docs.google.com/spreadsheets/d/11923uPwbBZFjjGgGUA6NLw09EwE0CqkOc4q9oUmW1yo/edit?usp=sharing"",""เพชรบูรณ์!J565"")"),0)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IFERROR(__xludf.DUMMYFUNCTION("IMPORTRANGE(""https://docs.google.com/spreadsheets/d/11923uPwbBZFjjGgGUA6NLw09EwE0CqkOc4q9oUmW1yo/edit?usp=sharing"",""เพชรบูรณ์!I566"")"),0)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IFERROR(__xludf.DUMMYFUNCTION("IMPORTRANGE(""https://docs.google.com/spreadsheets/d/11923uPwbBZFjjGgGUA6NLw09EwE0CqkOc4q9oUmW1yo/edit?usp=sharing"",""เพชรบูรณ์!L566"")"),0)</f>
        <v>0</v>
      </c>
      <c r="M671" s="520"/>
      <c r="N671" s="537">
        <f ca="1">IFERROR(__xludf.DUMMYFUNCTION("IMPORTRANGE(""https://docs.google.com/spreadsheets/d/11923uPwbBZFjjGgGUA6NLw09EwE0CqkOc4q9oUmW1yo/edit?usp=sharing"",""เพชรบูรณ์!M566"")"),0)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IFERROR(__xludf.DUMMYFUNCTION("IMPORTRANGE(""https://docs.google.com/spreadsheets/d/11923uPwbBZFjjGgGUA6NLw09EwE0CqkOc4q9oUmW1yo/edit?usp=sharing"",""เพชรบูรณ์!J567"")"),0)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IFERROR(__xludf.DUMMYFUNCTION("IMPORTRANGE(""https://docs.google.com/spreadsheets/d/11923uPwbBZFjjGgGUA6NLw09EwE0CqkOc4q9oUmW1yo/edit?usp=sharing"",""เพชรบูรณ์!J568"")"),0)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IFERROR(__xludf.DUMMYFUNCTION("IMPORTRANGE(""https://docs.google.com/spreadsheets/d/11923uPwbBZFjjGgGUA6NLw09EwE0CqkOc4q9oUmW1yo/edit?usp=sharing"",""เพชรบูรณ์!J569"")"),0)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IFERROR(__xludf.DUMMYFUNCTION("IMPORTRANGE(""https://docs.google.com/spreadsheets/d/11923uPwbBZFjjGgGUA6NLw09EwE0CqkOc4q9oUmW1yo/edit?usp=sharing"",""เพชรบูรณ์!J570"")"),0)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IFERROR(__xludf.DUMMYFUNCTION("IMPORTRANGE(""https://docs.google.com/spreadsheets/d/11923uPwbBZFjjGgGUA6NLw09EwE0CqkOc4q9oUmW1yo/edit?usp=sharing"",""เพชรบูรณ์!J571"")"),0)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IFERROR(__xludf.DUMMYFUNCTION("IMPORTRANGE(""https://docs.google.com/spreadsheets/d/11923uPwbBZFjjGgGUA6NLw09EwE0CqkOc4q9oUmW1yo/edit?usp=sharing"",""เพชรบูรณ์!J572"")"),0)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74.44140625" customWidth="1"/>
    <col min="8" max="8" width="10.77734375" customWidth="1"/>
    <col min="9" max="10" width="15.77734375" customWidth="1"/>
    <col min="11" max="11" width="10.21875" customWidth="1"/>
    <col min="12" max="14" width="19.33203125" bestFit="1" customWidth="1"/>
    <col min="15" max="15" width="18.77734375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280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15031639.24</v>
      </c>
      <c r="M8" s="23">
        <f t="shared" ca="1" si="0"/>
        <v>12594699.24</v>
      </c>
      <c r="N8" s="23">
        <f t="shared" ca="1" si="0"/>
        <v>13354256.34</v>
      </c>
      <c r="O8" s="22">
        <f t="shared" ref="O8:O16" ca="1" si="1">IF(L8&gt;0,N8*100/L8,0)</f>
        <v>88.840984850565107</v>
      </c>
      <c r="P8" s="22">
        <f t="shared" ref="P8:P16" ca="1" si="2">IF(M8&gt;0,N8*100/M8,0)</f>
        <v>106.03076806778913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15031639.24</v>
      </c>
      <c r="M10" s="30">
        <f t="shared" ca="1" si="4"/>
        <v>12594699.24</v>
      </c>
      <c r="N10" s="30">
        <f t="shared" ca="1" si="4"/>
        <v>13354256.34</v>
      </c>
      <c r="O10" s="29">
        <f t="shared" ca="1" si="1"/>
        <v>88.840984850565107</v>
      </c>
      <c r="P10" s="29">
        <f t="shared" ca="1" si="2"/>
        <v>106.03076806778913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4665965</v>
      </c>
      <c r="M12" s="39">
        <f t="shared" ca="1" si="6"/>
        <v>2229025</v>
      </c>
      <c r="N12" s="39">
        <f t="shared" ca="1" si="6"/>
        <v>2988582.0999999996</v>
      </c>
      <c r="O12" s="39">
        <f t="shared" ca="1" si="1"/>
        <v>64.050675476562716</v>
      </c>
      <c r="P12" s="39">
        <f t="shared" ca="1" si="2"/>
        <v>134.07575509471627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2794865</v>
      </c>
      <c r="M14" s="39">
        <f t="shared" si="8"/>
        <v>0</v>
      </c>
      <c r="N14" s="39">
        <f t="shared" ca="1" si="8"/>
        <v>901951.45</v>
      </c>
      <c r="O14" s="39">
        <f t="shared" ca="1" si="1"/>
        <v>32.271735844128429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10365674.24</v>
      </c>
      <c r="M16" s="39">
        <f t="shared" ca="1" si="10"/>
        <v>10365674.24</v>
      </c>
      <c r="N16" s="39">
        <f t="shared" ca="1" si="10"/>
        <v>10365674.24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13166179.24</v>
      </c>
      <c r="M18" s="23">
        <f t="shared" ca="1" si="11"/>
        <v>12594699.24</v>
      </c>
      <c r="N18" s="23">
        <f t="shared" ca="1" si="11"/>
        <v>12452304.890000001</v>
      </c>
      <c r="O18" s="22">
        <f t="shared" ref="O18:O20" ca="1" si="12">IF(L18&gt;0,N18*100/L18,0)</f>
        <v>94.577968771447473</v>
      </c>
      <c r="P18" s="22">
        <f t="shared" ref="P18:P26" ca="1" si="13">IF(M18&gt;0,N18*100/M18,0)</f>
        <v>98.869410477482745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13166179.24</v>
      </c>
      <c r="M20" s="30">
        <f t="shared" ca="1" si="15"/>
        <v>12594699.24</v>
      </c>
      <c r="N20" s="30">
        <f t="shared" ca="1" si="15"/>
        <v>12452304.890000001</v>
      </c>
      <c r="O20" s="29">
        <f t="shared" ca="1" si="12"/>
        <v>94.577968771447473</v>
      </c>
      <c r="P20" s="29">
        <f t="shared" ca="1" si="13"/>
        <v>98.869410477482745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2800505</v>
      </c>
      <c r="M22" s="42">
        <f t="shared" ca="1" si="18"/>
        <v>2229025</v>
      </c>
      <c r="N22" s="39">
        <f t="shared" ca="1" si="18"/>
        <v>2086630.65</v>
      </c>
      <c r="O22" s="39">
        <f t="shared" ca="1" si="17"/>
        <v>74.509084968603872</v>
      </c>
      <c r="P22" s="39">
        <f t="shared" ca="1" si="13"/>
        <v>93.611810096342566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929405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10365674.24</v>
      </c>
      <c r="M26" s="50">
        <f t="shared" ca="1" si="22"/>
        <v>10365674.24</v>
      </c>
      <c r="N26" s="50">
        <f t="shared" ca="1" si="22"/>
        <v>10365674.24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1865460</v>
      </c>
      <c r="M28" s="23">
        <f t="shared" si="23"/>
        <v>0</v>
      </c>
      <c r="N28" s="23">
        <f t="shared" ca="1" si="23"/>
        <v>901951.45</v>
      </c>
      <c r="O28" s="22">
        <f t="shared" ref="O28:O30" ca="1" si="24">IF(L28&gt;0,N28*100/L28,0)</f>
        <v>48.350082553364857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1865460</v>
      </c>
      <c r="M30" s="30">
        <f t="shared" si="27"/>
        <v>0</v>
      </c>
      <c r="N30" s="30">
        <f t="shared" ca="1" si="27"/>
        <v>901951.45</v>
      </c>
      <c r="O30" s="29">
        <f t="shared" ca="1" si="24"/>
        <v>48.350082553364857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1865460</v>
      </c>
      <c r="M32" s="39">
        <f t="shared" si="30"/>
        <v>0</v>
      </c>
      <c r="N32" s="39">
        <f t="shared" ca="1" si="30"/>
        <v>901951.45</v>
      </c>
      <c r="O32" s="39">
        <f t="shared" ca="1" si="29"/>
        <v>48.350082553364857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1865460</v>
      </c>
      <c r="M34" s="39">
        <f t="shared" si="32"/>
        <v>0</v>
      </c>
      <c r="N34" s="39">
        <f t="shared" ca="1" si="32"/>
        <v>901951.45</v>
      </c>
      <c r="O34" s="39">
        <f t="shared" ca="1" si="29"/>
        <v>48.350082553364857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13166179.24</v>
      </c>
      <c r="M37" s="55">
        <f t="shared" ca="1" si="33"/>
        <v>12594699.24</v>
      </c>
      <c r="N37" s="55">
        <f t="shared" ca="1" si="33"/>
        <v>12452304.890000001</v>
      </c>
      <c r="O37" s="56">
        <f t="shared" ca="1" si="29"/>
        <v>94.577968771447473</v>
      </c>
      <c r="P37" s="56">
        <f t="shared" ca="1" si="25"/>
        <v>98.869410477482745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7765700</v>
      </c>
      <c r="M41" s="79">
        <f t="shared" ca="1" si="34"/>
        <v>7613100</v>
      </c>
      <c r="N41" s="79">
        <f t="shared" ca="1" si="34"/>
        <v>7600529.0599999996</v>
      </c>
      <c r="O41" s="78">
        <f t="shared" ref="O41:O43" ca="1" si="35">IF(L41&gt;0,N41*100/L41,0)</f>
        <v>97.873070811388544</v>
      </c>
      <c r="P41" s="78">
        <f t="shared" ref="P41:P43" ca="1" si="36">IF(M41&gt;0,N41*100/M41,0)</f>
        <v>99.834877513759182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7765700</v>
      </c>
      <c r="M43" s="79">
        <f t="shared" ca="1" si="38"/>
        <v>7613100</v>
      </c>
      <c r="N43" s="79">
        <f t="shared" ca="1" si="38"/>
        <v>7600529.0599999996</v>
      </c>
      <c r="O43" s="78">
        <f t="shared" ca="1" si="35"/>
        <v>97.873070811388544</v>
      </c>
      <c r="P43" s="78">
        <f t="shared" ca="1" si="36"/>
        <v>99.834877513759182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IFERROR(__xludf.DUMMYFUNCTION("IMPORTRANGE(""https://docs.google.com/spreadsheets/d/1Yj_ptqi66GCucihVvJfMjLAmec39IyEx_6qawtMGysU/edit?usp=sharing"",""สบก!Q30"")"),458100)</f>
        <v>458100</v>
      </c>
      <c r="N45" s="50">
        <f ca="1">IFERROR(__xludf.DUMMYFUNCTION("IMPORTRANGE(""https://docs.google.com/spreadsheets/d/1Yj_ptqi66GCucihVvJfMjLAmec39IyEx_6qawtMGysU/edit?usp=sharing"",""สบก!R30"")"),445529.06)</f>
        <v>445529.06</v>
      </c>
      <c r="O45" s="39">
        <f ca="1">IF(L45&gt;0,N45*100/L45,0)</f>
        <v>72.953833306042242</v>
      </c>
      <c r="P45" s="39">
        <f ca="1">IF(M45&gt;0,N45*100/M45,0)</f>
        <v>97.255852433966382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IFERROR(__xludf.DUMMYFUNCTION("IMPORTRANGE(""https://docs.google.com/spreadsheets/d/1Yj_ptqi66GCucihVvJfMjLAmec39IyEx_6qawtMGysU/edit?usp=sharing"",""สบก!O30"")"),7155000)</f>
        <v>7155000</v>
      </c>
      <c r="M49" s="50">
        <f ca="1">L49</f>
        <v>7155000</v>
      </c>
      <c r="N49" s="50">
        <f ca="1">IFERROR(__xludf.DUMMYFUNCTION("IMPORTRANGE(""https://docs.google.com/spreadsheets/d/1Yj_ptqi66GCucihVvJfMjLAmec39IyEx_6qawtMGysU/edit?usp=sharing"",""สบก!S30"")"),7155000)</f>
        <v>7155000</v>
      </c>
      <c r="O49" s="50">
        <f ca="1">IF(L49&gt;0,N49*100/L49,0)</f>
        <v>100</v>
      </c>
      <c r="P49" s="52">
        <f ca="1">IF(M49&gt;0,N49*100/M49,0)</f>
        <v>100</v>
      </c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477900</v>
      </c>
      <c r="N53" s="121">
        <f t="shared" ca="1" si="39"/>
        <v>446700</v>
      </c>
      <c r="O53" s="120">
        <f t="shared" ref="O53:O55" ca="1" si="40">IF(L53&gt;0,N53*100/L53,0)</f>
        <v>70.103578154425605</v>
      </c>
      <c r="P53" s="120">
        <f t="shared" ref="P53:P55" ca="1" si="41">IF(M53&gt;0,N53*100/M53,0)</f>
        <v>93.471437539234145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477900</v>
      </c>
      <c r="N55" s="121">
        <f t="shared" ca="1" si="43"/>
        <v>446700</v>
      </c>
      <c r="O55" s="120">
        <f t="shared" ca="1" si="40"/>
        <v>70.103578154425605</v>
      </c>
      <c r="P55" s="120">
        <f t="shared" ca="1" si="41"/>
        <v>93.471437539234145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IFERROR(__xludf.DUMMYFUNCTION("IMPORTRANGE(""https://docs.google.com/spreadsheets/d/1Yj_ptqi66GCucihVvJfMjLAmec39IyEx_6qawtMGysU/edit?usp=sharing"",""สบก!Z30"")"),477900)</f>
        <v>477900</v>
      </c>
      <c r="N57" s="50">
        <f ca="1">IFERROR(__xludf.DUMMYFUNCTION("IMPORTRANGE(""https://docs.google.com/spreadsheets/d/1Yj_ptqi66GCucihVvJfMjLAmec39IyEx_6qawtMGysU/edit?usp=sharing"",""สบก!AA30"")"),446700)</f>
        <v>446700</v>
      </c>
      <c r="O57" s="39">
        <f ca="1">IF(L57&gt;0,N57*100/L57,0)</f>
        <v>70.103578154425605</v>
      </c>
      <c r="P57" s="39">
        <f ca="1">IF(M57&gt;0,N57*100/M57,0)</f>
        <v>93.471437539234145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3015874.24</v>
      </c>
      <c r="M66" s="152">
        <f t="shared" ca="1" si="45"/>
        <v>3015874.24</v>
      </c>
      <c r="N66" s="152">
        <f t="shared" ca="1" si="45"/>
        <v>3015874.24</v>
      </c>
      <c r="O66" s="151">
        <f t="shared" ref="O66:O68" ca="1" si="46">IF(L66&gt;0,N66*100/L66,0)</f>
        <v>99.999999999999986</v>
      </c>
      <c r="P66" s="151">
        <f t="shared" ref="P66:P68" ca="1" si="47">IF(M66&gt;0,N66*100/M66,0)</f>
        <v>99.999999999999986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3015874.24</v>
      </c>
      <c r="M68" s="88">
        <f t="shared" ca="1" si="49"/>
        <v>3015874.24</v>
      </c>
      <c r="N68" s="88">
        <f t="shared" ca="1" si="49"/>
        <v>3015874.24</v>
      </c>
      <c r="O68" s="156">
        <f t="shared" ca="1" si="46"/>
        <v>99.999999999999986</v>
      </c>
      <c r="P68" s="156">
        <f t="shared" ca="1" si="47"/>
        <v>99.999999999999986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IFERROR(__xludf.DUMMYFUNCTION("IMPORTRANGE(""https://docs.google.com/spreadsheets/d/1Yj_ptqi66GCucihVvJfMjLAmec39IyEx_6qawtMGysU/edit?usp=sharing"",""สบก!AG30"")"),3015874.24)</f>
        <v>3015874.24</v>
      </c>
      <c r="M74" s="50">
        <f ca="1">L74</f>
        <v>3015874.24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99.999999999999986</v>
      </c>
      <c r="P74" s="50">
        <f ca="1">IF(M74&gt;0,N74*100/M74,0)</f>
        <v>99.999999999999986</v>
      </c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294571</v>
      </c>
      <c r="O94" s="151">
        <f t="shared" ref="O94:O96" ca="1" si="53">IF(L94&gt;0,N94*100/L94,0)</f>
        <v>92.353586656634064</v>
      </c>
      <c r="P94" s="151">
        <f t="shared" ref="P94:P96" ca="1" si="54">IF(M94&gt;0,N94*100/M94,0)</f>
        <v>98.546744057675255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294571</v>
      </c>
      <c r="O96" s="156">
        <f t="shared" ca="1" si="53"/>
        <v>92.353586656634064</v>
      </c>
      <c r="P96" s="156">
        <f t="shared" ca="1" si="54"/>
        <v>98.546744057675255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IFERROR(__xludf.DUMMYFUNCTION("IMPORTRANGE(""https://docs.google.com/spreadsheets/d/1Yj_ptqi66GCucihVvJfMjLAmec39IyEx_6qawtMGysU/edit?usp=sharing"",""สบก!AR30"")"),114115)</f>
        <v>114115</v>
      </c>
      <c r="N98" s="168">
        <f ca="1">IFERROR(__xludf.DUMMYFUNCTION("IMPORTRANGE(""https://docs.google.com/spreadsheets/d/1Yj_ptqi66GCucihVvJfMjLAmec39IyEx_6qawtMGysU/edit?usp=sharing"",""สบก!AS30"")"),109771)</f>
        <v>109771</v>
      </c>
      <c r="O98" s="168">
        <f ca="1">IF(L98&gt;0,N98*100/L98,0)</f>
        <v>81.820960047704233</v>
      </c>
      <c r="P98" s="168">
        <f ca="1">IF(M98&gt;0,N98*100/M98,0)</f>
        <v>96.193313762432638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68440</v>
      </c>
      <c r="O118" s="151">
        <f t="shared" ref="O118:O120" ca="1" si="59">IF(L118&gt;0,N118*100/L118,0)</f>
        <v>83.017952450266861</v>
      </c>
      <c r="P118" s="151">
        <f t="shared" ref="P118:P120" ca="1" si="60">IF(M118&gt;0,N118*100/M118,0)</f>
        <v>83.017952450266861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68440</v>
      </c>
      <c r="O120" s="156">
        <f t="shared" ca="1" si="59"/>
        <v>83.017952450266861</v>
      </c>
      <c r="P120" s="156">
        <f t="shared" ca="1" si="60"/>
        <v>83.017952450266861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IFERROR(__xludf.DUMMYFUNCTION("IMPORTRANGE(""https://docs.google.com/spreadsheets/d/1Yj_ptqi66GCucihVvJfMjLAmec39IyEx_6qawtMGysU/edit?usp=sharing"",""สบก!BA30"")"),82440)</f>
        <v>82440</v>
      </c>
      <c r="N122" s="168">
        <f ca="1">IFERROR(__xludf.DUMMYFUNCTION("IMPORTRANGE(""https://docs.google.com/spreadsheets/d/1Yj_ptqi66GCucihVvJfMjLAmec39IyEx_6qawtMGysU/edit?usp=sharing"",""สบก!BB30"")"),68440)</f>
        <v>68440</v>
      </c>
      <c r="O122" s="168">
        <f ca="1">IF(L122&gt;0,N122*100/L122,0)</f>
        <v>83.017952450266861</v>
      </c>
      <c r="P122" s="168">
        <f ca="1">IF(M122&gt;0,N122*100/M122,0)</f>
        <v>83.017952450266861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101725</v>
      </c>
      <c r="N140" s="152">
        <f t="shared" ca="1" si="64"/>
        <v>64879</v>
      </c>
      <c r="O140" s="151">
        <f t="shared" ref="O140:O142" ca="1" si="65">IF(L140&gt;0,N140*100/L140,0)</f>
        <v>94.027536231884056</v>
      </c>
      <c r="P140" s="151">
        <f t="shared" ref="P140:P142" ca="1" si="66">IF(M140&gt;0,N140*100/M140,0)</f>
        <v>63.778815433767512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101725</v>
      </c>
      <c r="N142" s="88">
        <f t="shared" ca="1" si="68"/>
        <v>64879</v>
      </c>
      <c r="O142" s="156">
        <f t="shared" ca="1" si="65"/>
        <v>94.027536231884056</v>
      </c>
      <c r="P142" s="156">
        <f t="shared" ca="1" si="66"/>
        <v>63.778815433767512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IFERROR(__xludf.DUMMYFUNCTION("IMPORTRANGE(""https://docs.google.com/spreadsheets/d/1Yj_ptqi66GCucihVvJfMjLAmec39IyEx_6qawtMGysU/edit?usp=sharing"",""สบก!BJ30"")"),101725)</f>
        <v>101725</v>
      </c>
      <c r="N144" s="168">
        <f ca="1">IFERROR(__xludf.DUMMYFUNCTION("IMPORTRANGE(""https://docs.google.com/spreadsheets/d/1Yj_ptqi66GCucihVvJfMjLAmec39IyEx_6qawtMGysU/edit?usp=sharing"",""สบก!BK30"")"),64879)</f>
        <v>64879</v>
      </c>
      <c r="O144" s="168">
        <f ca="1">IF(L144&gt;0,N144*100/L144,0)</f>
        <v>94.027536231884056</v>
      </c>
      <c r="P144" s="168">
        <f ca="1">IF(M144&gt;0,N144*100/M144,0)</f>
        <v>63.778815433767512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195000</v>
      </c>
      <c r="N250" s="152">
        <f t="shared" ca="1" si="77"/>
        <v>170298</v>
      </c>
      <c r="O250" s="151">
        <f t="shared" ref="O250:O252" ca="1" si="78">IF(L250&gt;0,N250*100/L250,0)</f>
        <v>78.478341013824888</v>
      </c>
      <c r="P250" s="151">
        <f t="shared" ref="P250:P252" ca="1" si="79">IF(M250&gt;0,N250*100/M250,0)</f>
        <v>87.332307692307694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195000</v>
      </c>
      <c r="N252" s="88">
        <f t="shared" ca="1" si="81"/>
        <v>170298</v>
      </c>
      <c r="O252" s="156">
        <f t="shared" ca="1" si="78"/>
        <v>78.478341013824888</v>
      </c>
      <c r="P252" s="156">
        <f t="shared" ca="1" si="79"/>
        <v>87.332307692307694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IFERROR(__xludf.DUMMYFUNCTION("IMPORTRANGE(""https://docs.google.com/spreadsheets/d/1Yj_ptqi66GCucihVvJfMjLAmec39IyEx_6qawtMGysU/edit?usp=sharing"",""สบก!CB30"")"),195000)</f>
        <v>195000</v>
      </c>
      <c r="N254" s="168">
        <f ca="1">IFERROR(__xludf.DUMMYFUNCTION("IMPORTRANGE(""https://docs.google.com/spreadsheets/d/1Yj_ptqi66GCucihVvJfMjLAmec39IyEx_6qawtMGysU/edit?usp=sharing"",""สบก!CC30"")"),170298)</f>
        <v>170298</v>
      </c>
      <c r="O254" s="168">
        <f ca="1">IF(L254&gt;0,N254*100/L254,0)</f>
        <v>78.478341013824888</v>
      </c>
      <c r="P254" s="168">
        <f ca="1">IF(M254&gt;0,N254*100/M254,0)</f>
        <v>87.332307692307694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132000</v>
      </c>
      <c r="N271" s="152">
        <f t="shared" ca="1" si="83"/>
        <v>138682</v>
      </c>
      <c r="O271" s="151">
        <f t="shared" ref="O271:O273" ca="1" si="84">IF(L271&gt;0,N271*100/L271,0)</f>
        <v>67.419543023821092</v>
      </c>
      <c r="P271" s="151">
        <f t="shared" ref="P271:P273" ca="1" si="85">IF(M271&gt;0,N271*100/M271,0)</f>
        <v>105.06212121212121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132000</v>
      </c>
      <c r="N273" s="88">
        <f t="shared" ca="1" si="87"/>
        <v>138682</v>
      </c>
      <c r="O273" s="156">
        <f t="shared" ca="1" si="84"/>
        <v>67.419543023821092</v>
      </c>
      <c r="P273" s="156">
        <f t="shared" ca="1" si="85"/>
        <v>105.06212121212121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IFERROR(__xludf.DUMMYFUNCTION("IMPORTRANGE(""https://docs.google.com/spreadsheets/d/1Yj_ptqi66GCucihVvJfMjLAmec39IyEx_6qawtMGysU/edit?usp=sharing"",""สบก!CK30"")"),132000)</f>
        <v>132000</v>
      </c>
      <c r="N275" s="168">
        <f ca="1">IFERROR(__xludf.DUMMYFUNCTION("IMPORTRANGE(""https://docs.google.com/spreadsheets/d/1Yj_ptqi66GCucihVvJfMjLAmec39IyEx_6qawtMGysU/edit?usp=sharing"",""สบก!CL30"")"),138682)</f>
        <v>138682</v>
      </c>
      <c r="O275" s="168">
        <f ca="1">IF(L275&gt;0,N275*100/L275,0)</f>
        <v>67.419543023821092</v>
      </c>
      <c r="P275" s="168">
        <f ca="1">IF(M275&gt;0,N275*100/M275,0)</f>
        <v>105.06212121212121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IFERROR(__xludf.DUMMYFUNCTION("IMPORTRANGE(""https://docs.google.com/spreadsheets/d/11923uPwbBZFjjGgGUA6NLw09EwE0CqkOc4q9oUmW1yo/edit?usp=sharing"",""แพร่!J228"")"),470)</f>
        <v>470</v>
      </c>
      <c r="K328" s="317">
        <f ca="1">IF(I328&gt;0,J328*100/I328,0)</f>
        <v>130.55555555555554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656620</v>
      </c>
      <c r="N329" s="152">
        <f t="shared" ca="1" si="98"/>
        <v>631206.59</v>
      </c>
      <c r="O329" s="151">
        <f t="shared" ref="O329:O331" ca="1" si="99">IF(L329&gt;0,N329*100/L329,0)</f>
        <v>75.758730406394776</v>
      </c>
      <c r="P329" s="151">
        <f t="shared" ref="P329:P331" ca="1" si="100">IF(M329&gt;0,N329*100/M329,0)</f>
        <v>96.1296625140873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656620</v>
      </c>
      <c r="N331" s="88">
        <f t="shared" ca="1" si="102"/>
        <v>631206.59</v>
      </c>
      <c r="O331" s="156">
        <f t="shared" ca="1" si="99"/>
        <v>75.758730406394776</v>
      </c>
      <c r="P331" s="156">
        <f t="shared" ca="1" si="100"/>
        <v>96.1296625140873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IFERROR(__xludf.DUMMYFUNCTION("IMPORTRANGE(""https://docs.google.com/spreadsheets/d/1Yj_ptqi66GCucihVvJfMjLAmec39IyEx_6qawtMGysU/edit?usp=sharing"",""สบก!DL30"")"),646620)</f>
        <v>646620</v>
      </c>
      <c r="N333" s="168">
        <f ca="1">IFERROR(__xludf.DUMMYFUNCTION("IMPORTRANGE(""https://docs.google.com/spreadsheets/d/1Yj_ptqi66GCucihVvJfMjLAmec39IyEx_6qawtMGysU/edit?usp=sharing"",""สบก!DM30"")"),621206.59)</f>
        <v>621206.59</v>
      </c>
      <c r="O333" s="168">
        <f ca="1">IF(L333&gt;0,N333*100/L333,0)</f>
        <v>75.464247187735367</v>
      </c>
      <c r="P333" s="168">
        <f ca="1">IF(M333&gt;0,N333*100/M333,0)</f>
        <v>96.069807614982523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IFERROR(__xludf.DUMMYFUNCTION("IMPORTRANGE(""https://docs.google.com/spreadsheets/d/11923uPwbBZFjjGgGUA6NLw09EwE0CqkOc4q9oUmW1yo/edit?usp=sharing"",""แพร่!J234"")"),141)</f>
        <v>141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IFERROR(__xludf.DUMMYFUNCTION("IMPORTRANGE(""https://docs.google.com/spreadsheets/d/11923uPwbBZFjjGgGUA6NLw09EwE0CqkOc4q9oUmW1yo/edit?usp=sharing"",""แพร่!J235"")"),1035.82)</f>
        <v>1035.82</v>
      </c>
      <c r="K340" s="342">
        <f t="shared" ca="1" si="103"/>
        <v>79.678461538461534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IFERROR(__xludf.DUMMYFUNCTION("IMPORTRANGE(""https://docs.google.com/spreadsheets/d/11923uPwbBZFjjGgGUA6NLw09EwE0CqkOc4q9oUmW1yo/edit?usp=sharing"",""แพร่!J236"")"),560)</f>
        <v>560</v>
      </c>
      <c r="K341" s="342">
        <f t="shared" ca="1" si="103"/>
        <v>155.55555555555554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IFERROR(__xludf.DUMMYFUNCTION("IMPORTRANGE(""https://docs.google.com/spreadsheets/d/11923uPwbBZFjjGgGUA6NLw09EwE0CqkOc4q9oUmW1yo/edit?usp=sharing"",""แพร่!J237"")"),4800.69)</f>
        <v>4800.6899999999996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IFERROR(__xludf.DUMMYFUNCTION("IMPORTRANGE(""https://docs.google.com/spreadsheets/d/11923uPwbBZFjjGgGUA6NLw09EwE0CqkOc4q9oUmW1yo/edit?usp=sharing"",""แพร่!J238"")"),1)</f>
        <v>1</v>
      </c>
      <c r="K343" s="342">
        <f t="shared" ca="1" si="103"/>
        <v>0.27777777777777779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IFERROR(__xludf.DUMMYFUNCTION("IMPORTRANGE(""https://docs.google.com/spreadsheets/d/11923uPwbBZFjjGgGUA6NLw09EwE0CqkOc4q9oUmW1yo/edit?usp=sharing"",""แพร่!J239"")"),4.5)</f>
        <v>4.5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IFERROR(__xludf.DUMMYFUNCTION("IMPORTRANGE(""https://docs.google.com/spreadsheets/d/11923uPwbBZFjjGgGUA6NLw09EwE0CqkOc4q9oUmW1yo/edit?usp=sharing"",""แพร่!J240"")"),470)</f>
        <v>470</v>
      </c>
      <c r="K345" s="342">
        <f t="shared" ca="1" si="103"/>
        <v>130.55555555555554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IFERROR(__xludf.DUMMYFUNCTION("IMPORTRANGE(""https://docs.google.com/spreadsheets/d/11923uPwbBZFjjGgGUA6NLw09EwE0CqkOc4q9oUmW1yo/edit?usp=sharing"",""แพร่!J241"")"),4107.35)</f>
        <v>4107.3500000000004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IFERROR(__xludf.DUMMYFUNCTION("IMPORTRANGE(""https://docs.google.com/spreadsheets/d/11923uPwbBZFjjGgGUA6NLw09EwE0CqkOc4q9oUmW1yo/edit?usp=sharing"",""แพร่!L242"")"),1865460)</f>
        <v>1865460</v>
      </c>
      <c r="M347" s="357"/>
      <c r="N347" s="357">
        <f ca="1">IFERROR(__xludf.DUMMYFUNCTION("IMPORTRANGE(""https://docs.google.com/spreadsheets/d/11923uPwbBZFjjGgGUA6NLw09EwE0CqkOc4q9oUmW1yo/edit?usp=sharing"",""แพร่!M242"")"),901951.45)</f>
        <v>901951.45</v>
      </c>
      <c r="O347" s="357">
        <f ca="1">+IF(L347&gt;0,N347*100/L347,0)</f>
        <v>48.350082553364857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IFERROR(__xludf.DUMMYFUNCTION("IMPORTRANGE(""https://docs.google.com/spreadsheets/d/11923uPwbBZFjjGgGUA6NLw09EwE0CqkOc4q9oUmW1yo/edit?usp=sharing"",""แพร่!M244"")"),293936)</f>
        <v>293936</v>
      </c>
      <c r="O349" s="372">
        <f ca="1">+IF(L349&gt;0,N349*100/L349,0)</f>
        <v>84.45708703272706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IFERROR(__xludf.DUMMYFUNCTION("IMPORTRANGE(""https://docs.google.com/spreadsheets/d/11923uPwbBZFjjGgGUA6NLw09EwE0CqkOc4q9oUmW1yo/edit?usp=sharing"",""แพร่!M247"")"),293936)</f>
        <v>293936</v>
      </c>
      <c r="O352" s="165">
        <f t="shared" ca="1" si="105"/>
        <v>84.45708703272706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IFERROR(__xludf.DUMMYFUNCTION("IMPORTRANGE(""https://docs.google.com/spreadsheets/d/11923uPwbBZFjjGgGUA6NLw09EwE0CqkOc4q9oUmW1yo/edit?usp=sharing"",""แพร่!M249"")"),293936)</f>
        <v>293936</v>
      </c>
      <c r="O354" s="168">
        <f t="shared" ca="1" si="105"/>
        <v>84.45708703272706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IFERROR(__xludf.DUMMYFUNCTION("IMPORTRANGE(""https://docs.google.com/spreadsheets/d/11923uPwbBZFjjGgGUA6NLw09EwE0CqkOc4q9oUmW1yo/edit?usp=sharing"",""แพร่!M252"")"),77000)</f>
        <v>77000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IFERROR(__xludf.DUMMYFUNCTION("IMPORTRANGE(""https://docs.google.com/spreadsheets/d/11923uPwbBZFjjGgGUA6NLw09EwE0CqkOc4q9oUmW1yo/edit?usp=sharing"",""แพร่!M253"")"),56436)</f>
        <v>56436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IFERROR(__xludf.DUMMYFUNCTION("IMPORTRANGE(""https://docs.google.com/spreadsheets/d/11923uPwbBZFjjGgGUA6NLw09EwE0CqkOc4q9oUmW1yo/edit?usp=sharing"",""แพร่!M275"")"),273968.45)</f>
        <v>273968.45</v>
      </c>
      <c r="O380" s="372">
        <f ca="1">+IF(L380&gt;0,N380*100/L380,0)</f>
        <v>26.63715338544705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IFERROR(__xludf.DUMMYFUNCTION("IMPORTRANGE(""https://docs.google.com/spreadsheets/d/11923uPwbBZFjjGgGUA6NLw09EwE0CqkOc4q9oUmW1yo/edit?usp=sharing"",""แพร่!M278"")"),273968.45)</f>
        <v>273968.45</v>
      </c>
      <c r="O383" s="165">
        <f t="shared" ca="1" si="109"/>
        <v>26.63715338544705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IFERROR(__xludf.DUMMYFUNCTION("IMPORTRANGE(""https://docs.google.com/spreadsheets/d/11923uPwbBZFjjGgGUA6NLw09EwE0CqkOc4q9oUmW1yo/edit?usp=sharing"",""แพร่!M280"")"),273968.45)</f>
        <v>273968.45</v>
      </c>
      <c r="O385" s="168">
        <f t="shared" ca="1" si="109"/>
        <v>26.63715338544705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IFERROR(__xludf.DUMMYFUNCTION("IMPORTRANGE(""https://docs.google.com/spreadsheets/d/11923uPwbBZFjjGgGUA6NLw09EwE0CqkOc4q9oUmW1yo/edit?usp=sharing"",""แพร่!M283"")"),77000)</f>
        <v>77000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IFERROR(__xludf.DUMMYFUNCTION("IMPORTRANGE(""https://docs.google.com/spreadsheets/d/11923uPwbBZFjjGgGUA6NLw09EwE0CqkOc4q9oUmW1yo/edit?usp=sharing"",""แพร่!M284"")"),24540.45)</f>
        <v>24540.45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IFERROR(__xludf.DUMMYFUNCTION("IMPORTRANGE(""https://docs.google.com/spreadsheets/d/11923uPwbBZFjjGgGUA6NLw09EwE0CqkOc4q9oUmW1yo/edit?usp=sharing"",""แพร่!M296"")"),97945)</f>
        <v>97945</v>
      </c>
      <c r="O401" s="372">
        <f ca="1">+IF(L401&gt;0,N401*100/L401,0)</f>
        <v>72.541105021478302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IFERROR(__xludf.DUMMYFUNCTION("IMPORTRANGE(""https://docs.google.com/spreadsheets/d/11923uPwbBZFjjGgGUA6NLw09EwE0CqkOc4q9oUmW1yo/edit?usp=sharing"",""แพร่!M299"")"),97945)</f>
        <v>97945</v>
      </c>
      <c r="O404" s="168">
        <f t="shared" ca="1" si="112"/>
        <v>72.541105021478302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IFERROR(__xludf.DUMMYFUNCTION("IMPORTRANGE(""https://docs.google.com/spreadsheets/d/11923uPwbBZFjjGgGUA6NLw09EwE0CqkOc4q9oUmW1yo/edit?usp=sharing"",""แพร่!M301"")"),97945)</f>
        <v>97945</v>
      </c>
      <c r="O406" s="168">
        <f t="shared" ca="1" si="112"/>
        <v>72.541105021478302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IFERROR(__xludf.DUMMYFUNCTION("IMPORTRANGE(""https://docs.google.com/spreadsheets/d/11923uPwbBZFjjGgGUA6NLw09EwE0CqkOc4q9oUmW1yo/edit?usp=sharing"",""แพร่!M305"")"),22105)</f>
        <v>22105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IFERROR(__xludf.DUMMYFUNCTION("IMPORTRANGE(""https://docs.google.com/spreadsheets/d/11923uPwbBZFjjGgGUA6NLw09EwE0CqkOc4q9oUmW1yo/edit?usp=sharing"",""แพร่!M350"")"),43165)</f>
        <v>43165</v>
      </c>
      <c r="O455" s="372">
        <f t="shared" ref="O455:O459" ca="1" si="116">+IF(L455&gt;0,N455*100/L455,0)</f>
        <v>48.762991414369637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IFERROR(__xludf.DUMMYFUNCTION("IMPORTRANGE(""https://docs.google.com/spreadsheets/d/11923uPwbBZFjjGgGUA6NLw09EwE0CqkOc4q9oUmW1yo/edit?usp=sharing"",""แพร่!M352"")"),43165)</f>
        <v>43165</v>
      </c>
      <c r="O457" s="168">
        <f t="shared" ca="1" si="116"/>
        <v>48.762991414369637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IFERROR(__xludf.DUMMYFUNCTION("IMPORTRANGE(""https://docs.google.com/spreadsheets/d/11923uPwbBZFjjGgGUA6NLw09EwE0CqkOc4q9oUmW1yo/edit?usp=sharing"",""แพร่!M354"")"),43165)</f>
        <v>43165</v>
      </c>
      <c r="O459" s="168">
        <f t="shared" ca="1" si="116"/>
        <v>48.762991414369637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IFERROR(__xludf.DUMMYFUNCTION("IMPORTRANGE(""https://docs.google.com/spreadsheets/d/11923uPwbBZFjjGgGUA6NLw09EwE0CqkOc4q9oUmW1yo/edit?usp=sharing"",""แพร่!M358"")"),43165)</f>
        <v>43165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IFERROR(__xludf.DUMMYFUNCTION("IMPORTRANGE(""https://docs.google.com/spreadsheets/d/11923uPwbBZFjjGgGUA6NLw09EwE0CqkOc4q9oUmW1yo/edit?usp=sharing"",""แพร่!J359"")"),5092)</f>
        <v>5092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IFERROR(__xludf.DUMMYFUNCTION("IMPORTRANGE(""https://docs.google.com/spreadsheets/d/11923uPwbBZFjjGgGUA6NLw09EwE0CqkOc4q9oUmW1yo/edit?usp=sharing"",""แพร่!J360"")"),5091.99)</f>
        <v>5091.99</v>
      </c>
      <c r="K465" s="201">
        <f t="shared" ca="1" si="117"/>
        <v>99.999803613511389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IFERROR(__xludf.DUMMYFUNCTION("IMPORTRANGE(""https://docs.google.com/spreadsheets/d/11923uPwbBZFjjGgGUA6NLw09EwE0CqkOc4q9oUmW1yo/edit?usp=sharing"",""แพร่!J362"")"),3692)</f>
        <v>3692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IFERROR(__xludf.DUMMYFUNCTION("IMPORTRANGE(""https://docs.google.com/spreadsheets/d/11923uPwbBZFjjGgGUA6NLw09EwE0CqkOc4q9oUmW1yo/edit?usp=sharing"",""แพร่!J363"")"),859)</f>
        <v>859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IFERROR(__xludf.DUMMYFUNCTION("IMPORTRANGE(""https://docs.google.com/spreadsheets/d/11923uPwbBZFjjGgGUA6NLw09EwE0CqkOc4q9oUmW1yo/edit?usp=sharing"",""แพร่!J364"")"),1311)</f>
        <v>1311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IFERROR(__xludf.DUMMYFUNCTION("IMPORTRANGE(""https://docs.google.com/spreadsheets/d/11923uPwbBZFjjGgGUA6NLw09EwE0CqkOc4q9oUmW1yo/edit?usp=sharing"",""แพร่!J366"")"),88.99)</f>
        <v>88.99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IFERROR(__xludf.DUMMYFUNCTION("IMPORTRANGE(""https://docs.google.com/spreadsheets/d/11923uPwbBZFjjGgGUA6NLw09EwE0CqkOc4q9oUmW1yo/edit?usp=sharing"",""แพร่!M428"")"),21672)</f>
        <v>21672</v>
      </c>
      <c r="O533" s="411">
        <f t="shared" ref="O533:O537" ca="1" si="118">+IF(L533&gt;0,N533*100/L533,0)</f>
        <v>63.110075713453696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IFERROR(__xludf.DUMMYFUNCTION("IMPORTRANGE(""https://docs.google.com/spreadsheets/d/11923uPwbBZFjjGgGUA6NLw09EwE0CqkOc4q9oUmW1yo/edit?usp=sharing"",""แพร่!M430"")"),21672)</f>
        <v>21672</v>
      </c>
      <c r="O535" s="168">
        <f t="shared" ca="1" si="118"/>
        <v>63.110075713453696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IFERROR(__xludf.DUMMYFUNCTION("IMPORTRANGE(""https://docs.google.com/spreadsheets/d/11923uPwbBZFjjGgGUA6NLw09EwE0CqkOc4q9oUmW1yo/edit?usp=sharing"",""แพร่!M432"")"),21672)</f>
        <v>21672</v>
      </c>
      <c r="O537" s="168">
        <f t="shared" ca="1" si="118"/>
        <v>63.110075713453696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IFERROR(__xludf.DUMMYFUNCTION("IMPORTRANGE(""https://docs.google.com/spreadsheets/d/11923uPwbBZFjjGgGUA6NLw09EwE0CqkOc4q9oUmW1yo/edit?usp=sharing"",""แพร่!M436"")"),3812)</f>
        <v>3812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IFERROR(__xludf.DUMMYFUNCTION("IMPORTRANGE(""https://docs.google.com/spreadsheets/d/11923uPwbBZFjjGgGUA6NLw09EwE0CqkOc4q9oUmW1yo/edit?usp=sharing"",""แพร่!J459"")"),2682)</f>
        <v>2682</v>
      </c>
      <c r="K564" s="371">
        <f ca="1">IF(I564&gt;0,J564*100/I564,0)</f>
        <v>223.5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IFERROR(__xludf.DUMMYFUNCTION("IMPORTRANGE(""https://docs.google.com/spreadsheets/d/11923uPwbBZFjjGgGUA6NLw09EwE0CqkOc4q9oUmW1yo/edit?usp=sharing"",""แพร่!M459"")"),70833)</f>
        <v>70833</v>
      </c>
      <c r="O564" s="372">
        <f t="shared" ref="O564:O568" ca="1" si="122">+IF(L564&gt;0,N564*100/L564,0)</f>
        <v>56.003320683111951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IFERROR(__xludf.DUMMYFUNCTION("IMPORTRANGE(""https://docs.google.com/spreadsheets/d/11923uPwbBZFjjGgGUA6NLw09EwE0CqkOc4q9oUmW1yo/edit?usp=sharing"",""แพร่!M461"")"),70833)</f>
        <v>70833</v>
      </c>
      <c r="O566" s="168">
        <f t="shared" ca="1" si="122"/>
        <v>56.003320683111951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IFERROR(__xludf.DUMMYFUNCTION("IMPORTRANGE(""https://docs.google.com/spreadsheets/d/11923uPwbBZFjjGgGUA6NLw09EwE0CqkOc4q9oUmW1yo/edit?usp=sharing"",""แพร่!M463"")"),70833)</f>
        <v>70833</v>
      </c>
      <c r="O568" s="168">
        <f t="shared" ca="1" si="122"/>
        <v>56.003320683111951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IFERROR(__xludf.DUMMYFUNCTION("IMPORTRANGE(""https://docs.google.com/spreadsheets/d/11923uPwbBZFjjGgGUA6NLw09EwE0CqkOc4q9oUmW1yo/edit?usp=sharing"",""แพร่!M466"")"),53899)</f>
        <v>53899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IFERROR(__xludf.DUMMYFUNCTION("IMPORTRANGE(""https://docs.google.com/spreadsheets/d/11923uPwbBZFjjGgGUA6NLw09EwE0CqkOc4q9oUmW1yo/edit?usp=sharing"",""แพร่!M467"")"),16934)</f>
        <v>16934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IFERROR(__xludf.DUMMYFUNCTION("IMPORTRANGE(""https://docs.google.com/spreadsheets/d/11923uPwbBZFjjGgGUA6NLw09EwE0CqkOc4q9oUmW1yo/edit?usp=sharing"",""แพร่!J468"")"),2682)</f>
        <v>2682</v>
      </c>
      <c r="K573" s="201">
        <f ca="1">IF(I573&gt;0,J573*100/I573,0)</f>
        <v>223.5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IFERROR(__xludf.DUMMYFUNCTION("IMPORTRANGE(""https://docs.google.com/spreadsheets/d/11923uPwbBZFjjGgGUA6NLw09EwE0CqkOc4q9oUmW1yo/edit?usp=sharing"",""แพร่!J471"")"),336)</f>
        <v>336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IFERROR(__xludf.DUMMYFUNCTION("IMPORTRANGE(""https://docs.google.com/spreadsheets/d/11923uPwbBZFjjGgGUA6NLw09EwE0CqkOc4q9oUmW1yo/edit?usp=sharing"",""แพร่!J472"")"),2342)</f>
        <v>2342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IFERROR(__xludf.DUMMYFUNCTION("IMPORTRANGE(""https://docs.google.com/spreadsheets/d/11923uPwbBZFjjGgGUA6NLw09EwE0CqkOc4q9oUmW1yo/edit?usp=sharing"",""แพร่!J475"")"),7)</f>
        <v>7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IFERROR(__xludf.DUMMYFUNCTION("IMPORTRANGE(""https://docs.google.com/spreadsheets/d/11923uPwbBZFjjGgGUA6NLw09EwE0CqkOc4q9oUmW1yo/edit?usp=sharing"",""แพร่!J486"")"),7)</f>
        <v>7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IFERROR(__xludf.DUMMYFUNCTION("IMPORTRANGE(""https://docs.google.com/spreadsheets/d/11923uPwbBZFjjGgGUA6NLw09EwE0CqkOc4q9oUmW1yo/edit?usp=sharing"",""แพร่!J487"")"),4.16)</f>
        <v>4.16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IFERROR(__xludf.DUMMYFUNCTION("IMPORTRANGE(""https://docs.google.com/spreadsheets/d/11923uPwbBZFjjGgGUA6NLw09EwE0CqkOc4q9oUmW1yo/edit?usp=sharing"",""แพร่!J490"")"),7)</f>
        <v>7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IFERROR(__xludf.DUMMYFUNCTION("IMPORTRANGE(""https://docs.google.com/spreadsheets/d/11923uPwbBZFjjGgGUA6NLw09EwE0CqkOc4q9oUmW1yo/edit?usp=sharing"",""แพร่!J491"")"),4.16)</f>
        <v>4.16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7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IFERROR(__xludf.DUMMYFUNCTION("IMPORTRANGE(""https://docs.google.com/spreadsheets/d/11923uPwbBZFjjGgGUA6NLw09EwE0CqkOc4q9oUmW1yo/edit?usp=sharing"",""แพร่!J523"")"),2335000)</f>
        <v>2335000</v>
      </c>
      <c r="K628" s="342">
        <f t="shared" ref="K628:K635" ca="1" si="129">IF(I628&gt;0,J628*100/I628,0)</f>
        <v>67.097701149425291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IFERROR(__xludf.DUMMYFUNCTION("IMPORTRANGE(""https://docs.google.com/spreadsheets/d/11923uPwbBZFjjGgGUA6NLw09EwE0CqkOc4q9oUmW1yo/edit?usp=sharing"",""แพร่!J524"")"),104)</f>
        <v>104</v>
      </c>
      <c r="K629" s="342">
        <f t="shared" ca="1" si="129"/>
        <v>65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IFERROR(__xludf.DUMMYFUNCTION("IMPORTRANGE(""https://docs.google.com/spreadsheets/d/11923uPwbBZFjjGgGUA6NLw09EwE0CqkOc4q9oUmW1yo/edit?usp=sharing"",""แพร่!J525"")"),83175.03)</f>
        <v>83175.03</v>
      </c>
      <c r="K630" s="342">
        <f t="shared" ca="1" si="129"/>
        <v>12.52398566368171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IFERROR(__xludf.DUMMYFUNCTION("IMPORTRANGE(""https://docs.google.com/spreadsheets/d/11923uPwbBZFjjGgGUA6NLw09EwE0CqkOc4q9oUmW1yo/edit?usp=sharing"",""แพร่!J526"")"),48)</f>
        <v>48</v>
      </c>
      <c r="K631" s="342">
        <f t="shared" ca="1" si="129"/>
        <v>88.888888888888886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IFERROR(__xludf.DUMMYFUNCTION("IMPORTRANGE(""https://docs.google.com/spreadsheets/d/11923uPwbBZFjjGgGUA6NLw09EwE0CqkOc4q9oUmW1yo/edit?usp=sharing"",""แพร่!J529"")"),1185000)</f>
        <v>1185000</v>
      </c>
      <c r="K634" s="342">
        <f t="shared" ca="1" si="129"/>
        <v>33.857142857142854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IFERROR(__xludf.DUMMYFUNCTION("IMPORTRANGE(""https://docs.google.com/spreadsheets/d/11923uPwbBZFjjGgGUA6NLw09EwE0CqkOc4q9oUmW1yo/edit?usp=sharing"",""แพร่!I530"")"),140)</f>
        <v>140</v>
      </c>
      <c r="J635" s="504">
        <f ca="1">IFERROR(__xludf.DUMMYFUNCTION("IMPORTRANGE(""https://docs.google.com/spreadsheets/d/11923uPwbBZFjjGgGUA6NLw09EwE0CqkOc4q9oUmW1yo/edit?usp=sharing"",""แพร่!J530"")"),55)</f>
        <v>55</v>
      </c>
      <c r="K635" s="486">
        <f t="shared" ca="1" si="129"/>
        <v>39.285714285714285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120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120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120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IFERROR(__xludf.DUMMYFUNCTION("IMPORTRANGE(""https://docs.google.com/spreadsheets/d/11923uPwbBZFjjGgGUA6NLw09EwE0CqkOc4q9oUmW1yo/edit?usp=sharing"",""แพร่!J541"")"),0)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IFERROR(__xludf.DUMMYFUNCTION("IMPORTRANGE(""https://docs.google.com/spreadsheets/d/11923uPwbBZFjjGgGUA6NLw09EwE0CqkOc4q9oUmW1yo/edit?usp=sharing"",""แพร่!J542"")"),0)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IFERROR(__xludf.DUMMYFUNCTION("IMPORTRANGE(""https://docs.google.com/spreadsheets/d/11923uPwbBZFjjGgGUA6NLw09EwE0CqkOc4q9oUmW1yo/edit?usp=sharing"",""แพร่!I543"")"),0)</f>
        <v>0</v>
      </c>
      <c r="J648" s="535">
        <f ca="1">IFERROR(__xludf.DUMMYFUNCTION("IMPORTRANGE(""https://docs.google.com/spreadsheets/d/11923uPwbBZFjjGgGUA6NLw09EwE0CqkOc4q9oUmW1yo/edit?usp=sharing"",""แพร่!J543"")"),0)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IFERROR(__xludf.DUMMYFUNCTION("IMPORTRANGE(""https://docs.google.com/spreadsheets/d/11923uPwbBZFjjGgGUA6NLw09EwE0CqkOc4q9oUmW1yo/edit?usp=sharing"",""แพร่!L543"")"),0)</f>
        <v>0</v>
      </c>
      <c r="M648" s="520"/>
      <c r="N648" s="537">
        <f ca="1">IFERROR(__xludf.DUMMYFUNCTION("IMPORTRANGE(""https://docs.google.com/spreadsheets/d/11923uPwbBZFjjGgGUA6NLw09EwE0CqkOc4q9oUmW1yo/edit?usp=sharing"",""แพร่!M543"")"),0)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IFERROR(__xludf.DUMMYFUNCTION("IMPORTRANGE(""https://docs.google.com/spreadsheets/d/11923uPwbBZFjjGgGUA6NLw09EwE0CqkOc4q9oUmW1yo/edit?usp=sharing"",""แพร่!I544"")"),0)</f>
        <v>0</v>
      </c>
      <c r="J649" s="535">
        <f ca="1">IFERROR(__xludf.DUMMYFUNCTION("IMPORTRANGE(""https://docs.google.com/spreadsheets/d/11923uPwbBZFjjGgGUA6NLw09EwE0CqkOc4q9oUmW1yo/edit?usp=sharing"",""แพร่!J544"")"),0)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IFERROR(__xludf.DUMMYFUNCTION("IMPORTRANGE(""https://docs.google.com/spreadsheets/d/11923uPwbBZFjjGgGUA6NLw09EwE0CqkOc4q9oUmW1yo/edit?usp=sharing"",""แพร่!L544"")"),0)</f>
        <v>0</v>
      </c>
      <c r="M649" s="520"/>
      <c r="N649" s="537">
        <f ca="1">IFERROR(__xludf.DUMMYFUNCTION("IMPORTRANGE(""https://docs.google.com/spreadsheets/d/11923uPwbBZFjjGgGUA6NLw09EwE0CqkOc4q9oUmW1yo/edit?usp=sharing"",""แพร่!M544"")"),0)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IFERROR(__xludf.DUMMYFUNCTION("IMPORTRANGE(""https://docs.google.com/spreadsheets/d/11923uPwbBZFjjGgGUA6NLw09EwE0CqkOc4q9oUmW1yo/edit?usp=sharing"",""แพร่!I545"")"),0)</f>
        <v>0</v>
      </c>
      <c r="J650" s="535">
        <f ca="1">IFERROR(__xludf.DUMMYFUNCTION("IMPORTRANGE(""https://docs.google.com/spreadsheets/d/11923uPwbBZFjjGgGUA6NLw09EwE0CqkOc4q9oUmW1yo/edit?usp=sharing"",""แพร่!J545"")"),0)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IFERROR(__xludf.DUMMYFUNCTION("IMPORTRANGE(""https://docs.google.com/spreadsheets/d/11923uPwbBZFjjGgGUA6NLw09EwE0CqkOc4q9oUmW1yo/edit?usp=sharing"",""แพร่!L545"")"),0)</f>
        <v>0</v>
      </c>
      <c r="M650" s="520"/>
      <c r="N650" s="537">
        <f ca="1">IFERROR(__xludf.DUMMYFUNCTION("IMPORTRANGE(""https://docs.google.com/spreadsheets/d/11923uPwbBZFjjGgGUA6NLw09EwE0CqkOc4q9oUmW1yo/edit?usp=sharing"",""แพร่!M545"")"),0)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IFERROR(__xludf.DUMMYFUNCTION("IMPORTRANGE(""https://docs.google.com/spreadsheets/d/11923uPwbBZFjjGgGUA6NLw09EwE0CqkOc4q9oUmW1yo/edit?usp=sharing"",""แพร่!I546"")"),0)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IFERROR(__xludf.DUMMYFUNCTION("IMPORTRANGE(""https://docs.google.com/spreadsheets/d/11923uPwbBZFjjGgGUA6NLw09EwE0CqkOc4q9oUmW1yo/edit?usp=sharing"",""แพร่!L546"")"),0)</f>
        <v>0</v>
      </c>
      <c r="M651" s="520"/>
      <c r="N651" s="537">
        <f ca="1">IFERROR(__xludf.DUMMYFUNCTION("IMPORTRANGE(""https://docs.google.com/spreadsheets/d/11923uPwbBZFjjGgGUA6NLw09EwE0CqkOc4q9oUmW1yo/edit?usp=sharing"",""แพร่!M546"")"),0)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IFERROR(__xludf.DUMMYFUNCTION("IMPORTRANGE(""https://docs.google.com/spreadsheets/d/11923uPwbBZFjjGgGUA6NLw09EwE0CqkOc4q9oUmW1yo/edit?usp=sharing"",""แพร่!J547"")"),0)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IFERROR(__xludf.DUMMYFUNCTION("IMPORTRANGE(""https://docs.google.com/spreadsheets/d/11923uPwbBZFjjGgGUA6NLw09EwE0CqkOc4q9oUmW1yo/edit?usp=sharing"",""แพร่!J548"")"),0)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IFERROR(__xludf.DUMMYFUNCTION("IMPORTRANGE(""https://docs.google.com/spreadsheets/d/11923uPwbBZFjjGgGUA6NLw09EwE0CqkOc4q9oUmW1yo/edit?usp=sharing"",""แพร่!J550"")"),0)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IFERROR(__xludf.DUMMYFUNCTION("IMPORTRANGE(""https://docs.google.com/spreadsheets/d/11923uPwbBZFjjGgGUA6NLw09EwE0CqkOc4q9oUmW1yo/edit?usp=sharing"",""แพร่!J551"")"),0)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IFERROR(__xludf.DUMMYFUNCTION("IMPORTRANGE(""https://docs.google.com/spreadsheets/d/11923uPwbBZFjjGgGUA6NLw09EwE0CqkOc4q9oUmW1yo/edit?usp=sharing"",""แพร่!J552"")"),0)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IFERROR(__xludf.DUMMYFUNCTION("IMPORTRANGE(""https://docs.google.com/spreadsheets/d/11923uPwbBZFjjGgGUA6NLw09EwE0CqkOc4q9oUmW1yo/edit?usp=sharing"",""แพร่!J553"")"),0)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IFERROR(__xludf.DUMMYFUNCTION("IMPORTRANGE(""https://docs.google.com/spreadsheets/d/11923uPwbBZFjjGgGUA6NLw09EwE0CqkOc4q9oUmW1yo/edit?usp=sharing"",""แพร่!J554"")"),0)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IFERROR(__xludf.DUMMYFUNCTION("IMPORTRANGE(""https://docs.google.com/spreadsheets/d/11923uPwbBZFjjGgGUA6NLw09EwE0CqkOc4q9oUmW1yo/edit?usp=sharing"",""แพร่!J555"")"),0)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IFERROR(__xludf.DUMMYFUNCTION("IMPORTRANGE(""https://docs.google.com/spreadsheets/d/11923uPwbBZFjjGgGUA6NLw09EwE0CqkOc4q9oUmW1yo/edit?usp=sharing"",""แพร่!J556"")"),0)</f>
        <v>0</v>
      </c>
      <c r="K661" s="536"/>
      <c r="L661" s="521">
        <f ca="1">IFERROR(__xludf.DUMMYFUNCTION("IMPORTRANGE(""https://docs.google.com/spreadsheets/d/11923uPwbBZFjjGgGUA6NLw09EwE0CqkOc4q9oUmW1yo/edit?usp=sharing"",""แพร่!L556"")"),0)</f>
        <v>0</v>
      </c>
      <c r="M661" s="520"/>
      <c r="N661" s="537">
        <f ca="1">IFERROR(__xludf.DUMMYFUNCTION("IMPORTRANGE(""https://docs.google.com/spreadsheets/d/11923uPwbBZFjjGgGUA6NLw09EwE0CqkOc4q9oUmW1yo/edit?usp=sharing"",""แพร่!M556"")"),0)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IFERROR(__xludf.DUMMYFUNCTION("IMPORTRANGE(""https://docs.google.com/spreadsheets/d/11923uPwbBZFjjGgGUA6NLw09EwE0CqkOc4q9oUmW1yo/edit?usp=sharing"",""แพร่!J557"")"),0)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IFERROR(__xludf.DUMMYFUNCTION("IMPORTRANGE(""https://docs.google.com/spreadsheets/d/11923uPwbBZFjjGgGUA6NLw09EwE0CqkOc4q9oUmW1yo/edit?usp=sharing"",""แพร่!I558"")"),0)</f>
        <v>0</v>
      </c>
      <c r="J663" s="535">
        <f ca="1">IFERROR(__xludf.DUMMYFUNCTION("IMPORTRANGE(""https://docs.google.com/spreadsheets/d/11923uPwbBZFjjGgGUA6NLw09EwE0CqkOc4q9oUmW1yo/edit?usp=sharing"",""แพร่!J558"")"),0)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IFERROR(__xludf.DUMMYFUNCTION("IMPORTRANGE(""https://docs.google.com/spreadsheets/d/11923uPwbBZFjjGgGUA6NLw09EwE0CqkOc4q9oUmW1yo/edit?usp=sharing"",""แพร่!I560"")"),1)</f>
        <v>1</v>
      </c>
      <c r="J665" s="535">
        <f ca="1">IFERROR(__xludf.DUMMYFUNCTION("IMPORTRANGE(""https://docs.google.com/spreadsheets/d/11923uPwbBZFjjGgGUA6NLw09EwE0CqkOc4q9oUmW1yo/edit?usp=sharing"",""แพร่!J560"")"),0)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IFERROR(__xludf.DUMMYFUNCTION("IMPORTRANGE(""https://docs.google.com/spreadsheets/d/11923uPwbBZFjjGgGUA6NLw09EwE0CqkOc4q9oUmW1yo/edit?usp=sharing"",""แพร่!L560"")"),120)</f>
        <v>120</v>
      </c>
      <c r="M665" s="520"/>
      <c r="N665" s="537">
        <f ca="1">IFERROR(__xludf.DUMMYFUNCTION("IMPORTRANGE(""https://docs.google.com/spreadsheets/d/11923uPwbBZFjjGgGUA6NLw09EwE0CqkOc4q9oUmW1yo/edit?usp=sharing"",""แพร่!M560"")"),0)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IFERROR(__xludf.DUMMYFUNCTION("IMPORTRANGE(""https://docs.google.com/spreadsheets/d/11923uPwbBZFjjGgGUA6NLw09EwE0CqkOc4q9oUmW1yo/edit?usp=sharing"",""แพร่!J561"")"),0)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IFERROR(__xludf.DUMMYFUNCTION("IMPORTRANGE(""https://docs.google.com/spreadsheets/d/11923uPwbBZFjjGgGUA6NLw09EwE0CqkOc4q9oUmW1yo/edit?usp=sharing"",""แพร่!J562"")"),0)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IFERROR(__xludf.DUMMYFUNCTION("IMPORTRANGE(""https://docs.google.com/spreadsheets/d/11923uPwbBZFjjGgGUA6NLw09EwE0CqkOc4q9oUmW1yo/edit?usp=sharing"",""แพร่!I563"")"),0)</f>
        <v>0</v>
      </c>
      <c r="J668" s="535">
        <f ca="1">IFERROR(__xludf.DUMMYFUNCTION("IMPORTRANGE(""https://docs.google.com/spreadsheets/d/11923uPwbBZFjjGgGUA6NLw09EwE0CqkOc4q9oUmW1yo/edit?usp=sharing"",""แพร่!J563"")"),0)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IFERROR(__xludf.DUMMYFUNCTION("IMPORTRANGE(""https://docs.google.com/spreadsheets/d/11923uPwbBZFjjGgGUA6NLw09EwE0CqkOc4q9oUmW1yo/edit?usp=sharing"",""แพร่!L563"")"),0)</f>
        <v>0</v>
      </c>
      <c r="M668" s="520"/>
      <c r="N668" s="537">
        <f ca="1">IFERROR(__xludf.DUMMYFUNCTION("IMPORTRANGE(""https://docs.google.com/spreadsheets/d/11923uPwbBZFjjGgGUA6NLw09EwE0CqkOc4q9oUmW1yo/edit?usp=sharing"",""แพร่!M563"")"),0)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IFERROR(__xludf.DUMMYFUNCTION("IMPORTRANGE(""https://docs.google.com/spreadsheets/d/11923uPwbBZFjjGgGUA6NLw09EwE0CqkOc4q9oUmW1yo/edit?usp=sharing"",""แพร่!J564"")"),0)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IFERROR(__xludf.DUMMYFUNCTION("IMPORTRANGE(""https://docs.google.com/spreadsheets/d/11923uPwbBZFjjGgGUA6NLw09EwE0CqkOc4q9oUmW1yo/edit?usp=sharing"",""แพร่!J565"")"),0)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IFERROR(__xludf.DUMMYFUNCTION("IMPORTRANGE(""https://docs.google.com/spreadsheets/d/11923uPwbBZFjjGgGUA6NLw09EwE0CqkOc4q9oUmW1yo/edit?usp=sharing"",""แพร่!I566"")"),0)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IFERROR(__xludf.DUMMYFUNCTION("IMPORTRANGE(""https://docs.google.com/spreadsheets/d/11923uPwbBZFjjGgGUA6NLw09EwE0CqkOc4q9oUmW1yo/edit?usp=sharing"",""แพร่!L566"")"),0)</f>
        <v>0</v>
      </c>
      <c r="M671" s="520"/>
      <c r="N671" s="537">
        <f ca="1">IFERROR(__xludf.DUMMYFUNCTION("IMPORTRANGE(""https://docs.google.com/spreadsheets/d/11923uPwbBZFjjGgGUA6NLw09EwE0CqkOc4q9oUmW1yo/edit?usp=sharing"",""แพร่!M566"")"),0)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IFERROR(__xludf.DUMMYFUNCTION("IMPORTRANGE(""https://docs.google.com/spreadsheets/d/11923uPwbBZFjjGgGUA6NLw09EwE0CqkOc4q9oUmW1yo/edit?usp=sharing"",""แพร่!J567"")"),0)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IFERROR(__xludf.DUMMYFUNCTION("IMPORTRANGE(""https://docs.google.com/spreadsheets/d/11923uPwbBZFjjGgGUA6NLw09EwE0CqkOc4q9oUmW1yo/edit?usp=sharing"",""แพร่!J568"")"),0)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IFERROR(__xludf.DUMMYFUNCTION("IMPORTRANGE(""https://docs.google.com/spreadsheets/d/11923uPwbBZFjjGgGUA6NLw09EwE0CqkOc4q9oUmW1yo/edit?usp=sharing"",""แพร่!J569"")"),0)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IFERROR(__xludf.DUMMYFUNCTION("IMPORTRANGE(""https://docs.google.com/spreadsheets/d/11923uPwbBZFjjGgGUA6NLw09EwE0CqkOc4q9oUmW1yo/edit?usp=sharing"",""แพร่!J570"")"),0)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IFERROR(__xludf.DUMMYFUNCTION("IMPORTRANGE(""https://docs.google.com/spreadsheets/d/11923uPwbBZFjjGgGUA6NLw09EwE0CqkOc4q9oUmW1yo/edit?usp=sharing"",""แพร่!J571"")"),0)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IFERROR(__xludf.DUMMYFUNCTION("IMPORTRANGE(""https://docs.google.com/spreadsheets/d/11923uPwbBZFjjGgGUA6NLw09EwE0CqkOc4q9oUmW1yo/edit?usp=sharing"",""แพร่!J572"")"),0)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282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3165402</v>
      </c>
      <c r="M8" s="23">
        <f t="shared" ca="1" si="0"/>
        <v>1654610</v>
      </c>
      <c r="N8" s="23">
        <f t="shared" ca="1" si="0"/>
        <v>2050470.76</v>
      </c>
      <c r="O8" s="22">
        <f t="shared" ref="O8:O16" ca="1" si="1">IF(L8&gt;0,N8*100/L8,0)</f>
        <v>64.777578329703459</v>
      </c>
      <c r="P8" s="22">
        <f t="shared" ref="P8:P16" ca="1" si="2">IF(M8&gt;0,N8*100/M8,0)</f>
        <v>123.92471700279825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3165402</v>
      </c>
      <c r="M10" s="30">
        <f t="shared" ca="1" si="4"/>
        <v>1654610</v>
      </c>
      <c r="N10" s="30">
        <f t="shared" ca="1" si="4"/>
        <v>2050470.76</v>
      </c>
      <c r="O10" s="29">
        <f t="shared" ca="1" si="1"/>
        <v>64.777578329703459</v>
      </c>
      <c r="P10" s="29">
        <f t="shared" ca="1" si="2"/>
        <v>123.92471700279825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3117602</v>
      </c>
      <c r="M12" s="39">
        <f t="shared" ca="1" si="6"/>
        <v>1606810</v>
      </c>
      <c r="N12" s="39">
        <f t="shared" ca="1" si="6"/>
        <v>2002670.76</v>
      </c>
      <c r="O12" s="39">
        <f t="shared" ca="1" si="1"/>
        <v>64.237537697242942</v>
      </c>
      <c r="P12" s="39">
        <f t="shared" ca="1" si="2"/>
        <v>124.63643865796205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1559602</v>
      </c>
      <c r="M14" s="39">
        <f t="shared" si="8"/>
        <v>0</v>
      </c>
      <c r="N14" s="39">
        <f t="shared" ca="1" si="8"/>
        <v>710694</v>
      </c>
      <c r="O14" s="39">
        <f t="shared" ca="1" si="1"/>
        <v>45.56893361254987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2081675</v>
      </c>
      <c r="M18" s="23">
        <f t="shared" ca="1" si="11"/>
        <v>1654610</v>
      </c>
      <c r="N18" s="23">
        <f t="shared" ca="1" si="11"/>
        <v>1339776.76</v>
      </c>
      <c r="O18" s="22">
        <f t="shared" ref="O18:O20" ca="1" si="12">IF(L18&gt;0,N18*100/L18,0)</f>
        <v>64.360515450298436</v>
      </c>
      <c r="P18" s="22">
        <f t="shared" ref="P18:P26" ca="1" si="13">IF(M18&gt;0,N18*100/M18,0)</f>
        <v>80.972359649705979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2081675</v>
      </c>
      <c r="M20" s="30">
        <f t="shared" ca="1" si="15"/>
        <v>1654610</v>
      </c>
      <c r="N20" s="30">
        <f t="shared" ca="1" si="15"/>
        <v>1339776.76</v>
      </c>
      <c r="O20" s="29">
        <f t="shared" ca="1" si="12"/>
        <v>64.360515450298436</v>
      </c>
      <c r="P20" s="29">
        <f t="shared" ca="1" si="13"/>
        <v>80.972359649705979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2033875</v>
      </c>
      <c r="M22" s="42">
        <f t="shared" ca="1" si="18"/>
        <v>1606810</v>
      </c>
      <c r="N22" s="39">
        <f t="shared" ca="1" si="18"/>
        <v>1291976.76</v>
      </c>
      <c r="O22" s="39">
        <f t="shared" ca="1" si="17"/>
        <v>63.522918566775246</v>
      </c>
      <c r="P22" s="39">
        <f t="shared" ca="1" si="13"/>
        <v>80.406318108550479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475875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1083727</v>
      </c>
      <c r="M28" s="23">
        <f t="shared" si="23"/>
        <v>0</v>
      </c>
      <c r="N28" s="23">
        <f t="shared" ca="1" si="23"/>
        <v>710694</v>
      </c>
      <c r="O28" s="22">
        <f t="shared" ref="O28:O30" ca="1" si="24">IF(L28&gt;0,N28*100/L28,0)</f>
        <v>65.578692788866576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1083727</v>
      </c>
      <c r="M30" s="30">
        <f t="shared" si="27"/>
        <v>0</v>
      </c>
      <c r="N30" s="30">
        <f t="shared" ca="1" si="27"/>
        <v>710694</v>
      </c>
      <c r="O30" s="29">
        <f t="shared" ca="1" si="24"/>
        <v>65.578692788866576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1083727</v>
      </c>
      <c r="M32" s="39">
        <f t="shared" si="30"/>
        <v>0</v>
      </c>
      <c r="N32" s="39">
        <f t="shared" ca="1" si="30"/>
        <v>710694</v>
      </c>
      <c r="O32" s="39">
        <f t="shared" ca="1" si="29"/>
        <v>65.578692788866576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1083727</v>
      </c>
      <c r="M34" s="39">
        <f t="shared" si="32"/>
        <v>0</v>
      </c>
      <c r="N34" s="39">
        <f t="shared" ca="1" si="32"/>
        <v>710694</v>
      </c>
      <c r="O34" s="39">
        <f t="shared" ca="1" si="29"/>
        <v>65.578692788866576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2081675</v>
      </c>
      <c r="M37" s="55">
        <f t="shared" ca="1" si="33"/>
        <v>1654610</v>
      </c>
      <c r="N37" s="55">
        <f t="shared" ca="1" si="33"/>
        <v>1339776.76</v>
      </c>
      <c r="O37" s="56">
        <f t="shared" ca="1" si="29"/>
        <v>64.360515450298436</v>
      </c>
      <c r="P37" s="56">
        <f t="shared" ca="1" si="25"/>
        <v>80.972359649705979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502300</v>
      </c>
      <c r="N41" s="79">
        <f t="shared" ca="1" si="34"/>
        <v>411569.36</v>
      </c>
      <c r="O41" s="78">
        <f t="shared" ref="O41:O43" ca="1" si="35">IF(L41&gt;0,N41*100/L41,0)</f>
        <v>61.455780200089592</v>
      </c>
      <c r="P41" s="78">
        <f t="shared" ref="P41:P43" ca="1" si="36">IF(M41&gt;0,N41*100/M41,0)</f>
        <v>81.936961974915391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502300</v>
      </c>
      <c r="N43" s="79">
        <f t="shared" ca="1" si="38"/>
        <v>411569.36</v>
      </c>
      <c r="O43" s="78">
        <f t="shared" ca="1" si="35"/>
        <v>61.455780200089592</v>
      </c>
      <c r="P43" s="78">
        <f t="shared" ca="1" si="36"/>
        <v>81.936961974915391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IFERROR(__xludf.DUMMYFUNCTION("IMPORTRANGE(""https://docs.google.com/spreadsheets/d/1Yj_ptqi66GCucihVvJfMjLAmec39IyEx_6qawtMGysU/edit?usp=sharing"",""สบก!Q31"")"),502300)</f>
        <v>502300</v>
      </c>
      <c r="N45" s="50">
        <f ca="1">IFERROR(__xludf.DUMMYFUNCTION("IMPORTRANGE(""https://docs.google.com/spreadsheets/d/1Yj_ptqi66GCucihVvJfMjLAmec39IyEx_6qawtMGysU/edit?usp=sharing"",""สบก!R31"")"),411569.36)</f>
        <v>411569.36</v>
      </c>
      <c r="O45" s="39">
        <f ca="1">IF(L45&gt;0,N45*100/L45,0)</f>
        <v>61.455780200089592</v>
      </c>
      <c r="P45" s="39">
        <f ca="1">IF(M45&gt;0,N45*100/M45,0)</f>
        <v>81.936961974915391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157750</v>
      </c>
      <c r="N53" s="121">
        <f t="shared" ca="1" si="39"/>
        <v>143536</v>
      </c>
      <c r="O53" s="120">
        <f t="shared" ref="O53:O55" ca="1" si="40">IF(L53&gt;0,N53*100/L53,0)</f>
        <v>79.083195592286501</v>
      </c>
      <c r="P53" s="120">
        <f t="shared" ref="P53:P55" ca="1" si="41">IF(M53&gt;0,N53*100/M53,0)</f>
        <v>90.989540412044377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157750</v>
      </c>
      <c r="N55" s="121">
        <f t="shared" ca="1" si="43"/>
        <v>143536</v>
      </c>
      <c r="O55" s="120">
        <f t="shared" ca="1" si="40"/>
        <v>79.083195592286501</v>
      </c>
      <c r="P55" s="120">
        <f t="shared" ca="1" si="41"/>
        <v>90.989540412044377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IFERROR(__xludf.DUMMYFUNCTION("IMPORTRANGE(""https://docs.google.com/spreadsheets/d/1Yj_ptqi66GCucihVvJfMjLAmec39IyEx_6qawtMGysU/edit?usp=sharing"",""สบก!Z31"")"),157750)</f>
        <v>157750</v>
      </c>
      <c r="N57" s="50">
        <f ca="1">IFERROR(__xludf.DUMMYFUNCTION("IMPORTRANGE(""https://docs.google.com/spreadsheets/d/1Yj_ptqi66GCucihVvJfMjLAmec39IyEx_6qawtMGysU/edit?usp=sharing"",""สบก!AA31"")"),143536)</f>
        <v>143536</v>
      </c>
      <c r="O57" s="39">
        <f ca="1">IF(L57&gt;0,N57*100/L57,0)</f>
        <v>79.083195592286501</v>
      </c>
      <c r="P57" s="39">
        <f ca="1">IF(M57&gt;0,N57*100/M57,0)</f>
        <v>90.989540412044377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60240</v>
      </c>
      <c r="O118" s="151">
        <f t="shared" ref="O118:O120" ca="1" si="59">IF(L118&gt;0,N118*100/L118,0)</f>
        <v>73.071324599708873</v>
      </c>
      <c r="P118" s="151">
        <f t="shared" ref="P118:P120" ca="1" si="60">IF(M118&gt;0,N118*100/M118,0)</f>
        <v>73.071324599708873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60240</v>
      </c>
      <c r="O120" s="156">
        <f t="shared" ca="1" si="59"/>
        <v>73.071324599708873</v>
      </c>
      <c r="P120" s="156">
        <f t="shared" ca="1" si="60"/>
        <v>73.071324599708873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IFERROR(__xludf.DUMMYFUNCTION("IMPORTRANGE(""https://docs.google.com/spreadsheets/d/1Yj_ptqi66GCucihVvJfMjLAmec39IyEx_6qawtMGysU/edit?usp=sharing"",""สบก!BB31"")"),60240)</f>
        <v>60240</v>
      </c>
      <c r="O122" s="168">
        <f ca="1">IF(L122&gt;0,N122*100/L122,0)</f>
        <v>73.071324599708873</v>
      </c>
      <c r="P122" s="168">
        <f ca="1">IF(M122&gt;0,N122*100/M122,0)</f>
        <v>73.071324599708873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69500</v>
      </c>
      <c r="M140" s="152">
        <f t="shared" ca="1" si="64"/>
        <v>87725</v>
      </c>
      <c r="N140" s="152">
        <f t="shared" ca="1" si="64"/>
        <v>42045</v>
      </c>
      <c r="O140" s="151">
        <f t="shared" ref="O140:O142" ca="1" si="65">IF(L140&gt;0,N140*100/L140,0)</f>
        <v>60.49640287769784</v>
      </c>
      <c r="P140" s="151">
        <f t="shared" ref="P140:P142" ca="1" si="66">IF(M140&gt;0,N140*100/M140,0)</f>
        <v>47.928184667996582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69500</v>
      </c>
      <c r="M142" s="88">
        <f t="shared" ca="1" si="68"/>
        <v>87725</v>
      </c>
      <c r="N142" s="88">
        <f t="shared" ca="1" si="68"/>
        <v>42045</v>
      </c>
      <c r="O142" s="156">
        <f t="shared" ca="1" si="65"/>
        <v>60.49640287769784</v>
      </c>
      <c r="P142" s="156">
        <f t="shared" ca="1" si="66"/>
        <v>47.928184667996582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IFERROR(__xludf.DUMMYFUNCTION("IMPORTRANGE(""https://docs.google.com/spreadsheets/d/1Yj_ptqi66GCucihVvJfMjLAmec39IyEx_6qawtMGysU/edit?usp=sharing"",""สบก!BJ31"")"),87725)</f>
        <v>87725</v>
      </c>
      <c r="N144" s="168">
        <f ca="1">IFERROR(__xludf.DUMMYFUNCTION("IMPORTRANGE(""https://docs.google.com/spreadsheets/d/1Yj_ptqi66GCucihVvJfMjLAmec39IyEx_6qawtMGysU/edit?usp=sharing"",""สบก!BK31"")"),42045)</f>
        <v>42045</v>
      </c>
      <c r="O144" s="168">
        <f ca="1">IF(L144&gt;0,N144*100/L144,0)</f>
        <v>60.49640287769784</v>
      </c>
      <c r="P144" s="168">
        <f ca="1">IF(M144&gt;0,N144*100/M144,0)</f>
        <v>47.928184667996582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IFERROR(__xludf.DUMMYFUNCTION("IMPORTRANGE(""https://docs.google.com/spreadsheets/d/11923uPwbBZFjjGgGUA6NLw09EwE0CqkOc4q9oUmW1yo/edit?usp=sharing"",""แม่ฮ่องสอน!J84"")"),82)</f>
        <v>82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IFERROR(__xludf.DUMMYFUNCTION("IMPORTRANGE(""https://docs.google.com/spreadsheets/d/11923uPwbBZFjjGgGUA6NLw09EwE0CqkOc4q9oUmW1yo/edit?usp=sharing"",""แม่ฮ่องสอน!J85"")"),82)</f>
        <v>82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102093</v>
      </c>
      <c r="O271" s="151">
        <f t="shared" ref="O271:O273" ca="1" si="84">IF(L271&gt;0,N271*100/L271,0)</f>
        <v>54.536858974358971</v>
      </c>
      <c r="P271" s="151">
        <f t="shared" ref="P271:P273" ca="1" si="85">IF(M271&gt;0,N271*100/M271,0)</f>
        <v>77.785142857142858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131250</v>
      </c>
      <c r="N273" s="88">
        <f t="shared" ca="1" si="87"/>
        <v>102093</v>
      </c>
      <c r="O273" s="156">
        <f t="shared" ca="1" si="84"/>
        <v>54.536858974358971</v>
      </c>
      <c r="P273" s="156">
        <f t="shared" ca="1" si="85"/>
        <v>77.785142857142858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IFERROR(__xludf.DUMMYFUNCTION("IMPORTRANGE(""https://docs.google.com/spreadsheets/d/1Yj_ptqi66GCucihVvJfMjLAmec39IyEx_6qawtMGysU/edit?usp=sharing"",""สบก!CK31"")"),131250)</f>
        <v>131250</v>
      </c>
      <c r="N275" s="168">
        <f ca="1">IFERROR(__xludf.DUMMYFUNCTION("IMPORTRANGE(""https://docs.google.com/spreadsheets/d/1Yj_ptqi66GCucihVvJfMjLAmec39IyEx_6qawtMGysU/edit?usp=sharing"",""สบก!CL31"")"),102093)</f>
        <v>102093</v>
      </c>
      <c r="O275" s="168">
        <f ca="1">IF(L275&gt;0,N275*100/L275,0)</f>
        <v>54.536858974358971</v>
      </c>
      <c r="P275" s="168">
        <f ca="1">IF(M275&gt;0,N275*100/M275,0)</f>
        <v>77.785142857142858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IFERROR(__xludf.DUMMYFUNCTION("IMPORTRANGE(""https://docs.google.com/spreadsheets/d/11923uPwbBZFjjGgGUA6NLw09EwE0CqkOc4q9oUmW1yo/edit?usp=sharing"",""แม่ฮ่องสอน!J228"")"),97)</f>
        <v>97</v>
      </c>
      <c r="K328" s="317">
        <f ca="1">IF(I328&gt;0,J328*100/I328,0)</f>
        <v>102.10526315789474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872040</v>
      </c>
      <c r="M329" s="152">
        <f t="shared" ca="1" si="98"/>
        <v>673850</v>
      </c>
      <c r="N329" s="152">
        <f t="shared" ca="1" si="98"/>
        <v>560998.40000000002</v>
      </c>
      <c r="O329" s="151">
        <f t="shared" ref="O329:O331" ca="1" si="99">IF(L329&gt;0,N329*100/L329,0)</f>
        <v>64.331727902389801</v>
      </c>
      <c r="P329" s="151">
        <f t="shared" ref="P329:P331" ca="1" si="100">IF(M329&gt;0,N329*100/M329,0)</f>
        <v>83.252712027899378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872040</v>
      </c>
      <c r="M331" s="88">
        <f t="shared" ca="1" si="102"/>
        <v>673850</v>
      </c>
      <c r="N331" s="88">
        <f t="shared" ca="1" si="102"/>
        <v>560998.40000000002</v>
      </c>
      <c r="O331" s="156">
        <f t="shared" ca="1" si="99"/>
        <v>64.331727902389801</v>
      </c>
      <c r="P331" s="156">
        <f t="shared" ca="1" si="100"/>
        <v>83.252712027899378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824240</v>
      </c>
      <c r="M333" s="167">
        <f ca="1">IFERROR(__xludf.DUMMYFUNCTION("IMPORTRANGE(""https://docs.google.com/spreadsheets/d/1Yj_ptqi66GCucihVvJfMjLAmec39IyEx_6qawtMGysU/edit?usp=sharing"",""สบก!DL31"")"),626050)</f>
        <v>626050</v>
      </c>
      <c r="N333" s="168">
        <f ca="1">IFERROR(__xludf.DUMMYFUNCTION("IMPORTRANGE(""https://docs.google.com/spreadsheets/d/1Yj_ptqi66GCucihVvJfMjLAmec39IyEx_6qawtMGysU/edit?usp=sharing"",""สบก!DM31"")"),513198.4)</f>
        <v>513198.4</v>
      </c>
      <c r="O333" s="168">
        <f ca="1">IF(L333&gt;0,N333*100/L333,0)</f>
        <v>62.263224303600893</v>
      </c>
      <c r="P333" s="168">
        <f ca="1">IF(M333&gt;0,N333*100/M333,0)</f>
        <v>81.974027633575588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IFERROR(__xludf.DUMMYFUNCTION("IMPORTRANGE(""https://docs.google.com/spreadsheets/d/1Yj_ptqi66GCucihVvJfMjLAmec39IyEx_6qawtMGysU/edit?usp=sharing"",""สบก!DI31"")"),249440)</f>
        <v>249440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IFERROR(__xludf.DUMMYFUNCTION("IMPORTRANGE(""https://docs.google.com/spreadsheets/d/11923uPwbBZFjjGgGUA6NLw09EwE0CqkOc4q9oUmW1yo/edit?usp=sharing"",""แม่ฮ่องสอน!J234"")"),51)</f>
        <v>51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IFERROR(__xludf.DUMMYFUNCTION("IMPORTRANGE(""https://docs.google.com/spreadsheets/d/11923uPwbBZFjjGgGUA6NLw09EwE0CqkOc4q9oUmW1yo/edit?usp=sharing"",""แม่ฮ่องสอน!J235"")"),96.44)</f>
        <v>96.44</v>
      </c>
      <c r="K340" s="342">
        <f t="shared" ca="1" si="103"/>
        <v>64.293333333333337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IFERROR(__xludf.DUMMYFUNCTION("IMPORTRANGE(""https://docs.google.com/spreadsheets/d/11923uPwbBZFjjGgGUA6NLw09EwE0CqkOc4q9oUmW1yo/edit?usp=sharing"",""แม่ฮ่องสอน!J236"")"),102)</f>
        <v>102</v>
      </c>
      <c r="K341" s="342">
        <f t="shared" ca="1" si="103"/>
        <v>107.36842105263158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IFERROR(__xludf.DUMMYFUNCTION("IMPORTRANGE(""https://docs.google.com/spreadsheets/d/11923uPwbBZFjjGgGUA6NLw09EwE0CqkOc4q9oUmW1yo/edit?usp=sharing"",""แม่ฮ่องสอน!J237"")"),308.78)</f>
        <v>308.77999999999997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IFERROR(__xludf.DUMMYFUNCTION("IMPORTRANGE(""https://docs.google.com/spreadsheets/d/11923uPwbBZFjjGgGUA6NLw09EwE0CqkOc4q9oUmW1yo/edit?usp=sharing"",""แม่ฮ่องสอน!J240"")"),97)</f>
        <v>97</v>
      </c>
      <c r="K345" s="342">
        <f t="shared" ca="1" si="103"/>
        <v>102.10526315789474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IFERROR(__xludf.DUMMYFUNCTION("IMPORTRANGE(""https://docs.google.com/spreadsheets/d/11923uPwbBZFjjGgGUA6NLw09EwE0CqkOc4q9oUmW1yo/edit?usp=sharing"",""แม่ฮ่องสอน!J241"")"),302.65)</f>
        <v>302.64999999999998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IFERROR(__xludf.DUMMYFUNCTION("IMPORTRANGE(""https://docs.google.com/spreadsheets/d/11923uPwbBZFjjGgGUA6NLw09EwE0CqkOc4q9oUmW1yo/edit?usp=sharing"",""แม่ฮ่องสอน!L242"")"),1083727)</f>
        <v>1083727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IFERROR(__xludf.DUMMYFUNCTION("IMPORTRANGE(""https://docs.google.com/spreadsheets/d/11923uPwbBZFjjGgGUA6NLw09EwE0CqkOc4q9oUmW1yo/edit?usp=sharing"",""แม่ฮ่องสอน!M242"")"),710694)</f>
        <v>710694</v>
      </c>
      <c r="O347" s="357">
        <f ca="1">+IF(L347&gt;0,N347*100/L347,0)</f>
        <v>65.578692788866576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IFERROR(__xludf.DUMMYFUNCTION("IMPORTRANGE(""https://docs.google.com/spreadsheets/d/11923uPwbBZFjjGgGUA6NLw09EwE0CqkOc4q9oUmW1yo/edit?usp=sharing"",""แม่ฮ่องสอน!M244"")"),271436)</f>
        <v>271436</v>
      </c>
      <c r="O349" s="372">
        <f ca="1">+IF(L349&gt;0,N349*100/L349,0)</f>
        <v>76.767916737372019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IFERROR(__xludf.DUMMYFUNCTION("IMPORTRANGE(""https://docs.google.com/spreadsheets/d/11923uPwbBZFjjGgGUA6NLw09EwE0CqkOc4q9oUmW1yo/edit?usp=sharing"",""แม่ฮ่องสอน!M247"")"),271436)</f>
        <v>271436</v>
      </c>
      <c r="O352" s="165">
        <f t="shared" ca="1" si="105"/>
        <v>76.767916737372019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IFERROR(__xludf.DUMMYFUNCTION("IMPORTRANGE(""https://docs.google.com/spreadsheets/d/11923uPwbBZFjjGgGUA6NLw09EwE0CqkOc4q9oUmW1yo/edit?usp=sharing"",""แม่ฮ่องสอน!M249"")"),271436)</f>
        <v>271436</v>
      </c>
      <c r="O354" s="168">
        <f t="shared" ca="1" si="105"/>
        <v>76.767916737372019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IFERROR(__xludf.DUMMYFUNCTION("IMPORTRANGE(""https://docs.google.com/spreadsheets/d/11923uPwbBZFjjGgGUA6NLw09EwE0CqkOc4q9oUmW1yo/edit?usp=sharing"",""แม่ฮ่องสอน!M252"")"),74516)</f>
        <v>74516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IFERROR(__xludf.DUMMYFUNCTION("IMPORTRANGE(""https://docs.google.com/spreadsheets/d/11923uPwbBZFjjGgGUA6NLw09EwE0CqkOc4q9oUmW1yo/edit?usp=sharing"",""แม่ฮ่องสอน!M253"")"),30120)</f>
        <v>30120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IFERROR(__xludf.DUMMYFUNCTION("IMPORTRANGE(""https://docs.google.com/spreadsheets/d/11923uPwbBZFjjGgGUA6NLw09EwE0CqkOc4q9oUmW1yo/edit?usp=sharing"",""แม่ฮ่องสอน!M275"")"),52870)</f>
        <v>52870</v>
      </c>
      <c r="O380" s="372">
        <f ca="1">+IF(L380&gt;0,N380*100/L380,0)</f>
        <v>41.414695284349051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IFERROR(__xludf.DUMMYFUNCTION("IMPORTRANGE(""https://docs.google.com/spreadsheets/d/11923uPwbBZFjjGgGUA6NLw09EwE0CqkOc4q9oUmW1yo/edit?usp=sharing"",""แม่ฮ่องสอน!M278"")"),52870)</f>
        <v>52870</v>
      </c>
      <c r="O383" s="165">
        <f t="shared" ca="1" si="109"/>
        <v>41.414695284349051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IFERROR(__xludf.DUMMYFUNCTION("IMPORTRANGE(""https://docs.google.com/spreadsheets/d/11923uPwbBZFjjGgGUA6NLw09EwE0CqkOc4q9oUmW1yo/edit?usp=sharing"",""แม่ฮ่องสอน!M280"")"),52870)</f>
        <v>52870</v>
      </c>
      <c r="O385" s="168">
        <f t="shared" ca="1" si="109"/>
        <v>41.414695284349051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IFERROR(__xludf.DUMMYFUNCTION("IMPORTRANGE(""https://docs.google.com/spreadsheets/d/11923uPwbBZFjjGgGUA6NLw09EwE0CqkOc4q9oUmW1yo/edit?usp=sharing"",""แม่ฮ่องสอน!M284"")"),11470)</f>
        <v>11470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IFERROR(__xludf.DUMMYFUNCTION("IMPORTRANGE(""https://docs.google.com/spreadsheets/d/11923uPwbBZFjjGgGUA6NLw09EwE0CqkOc4q9oUmW1yo/edit?usp=sharing"",""แม่ฮ่องสอน!M296"")"),101650)</f>
        <v>101650</v>
      </c>
      <c r="O401" s="372">
        <f ca="1">+IF(L401&gt;0,N401*100/L401,0)</f>
        <v>97.189023807247352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IFERROR(__xludf.DUMMYFUNCTION("IMPORTRANGE(""https://docs.google.com/spreadsheets/d/11923uPwbBZFjjGgGUA6NLw09EwE0CqkOc4q9oUmW1yo/edit?usp=sharing"",""แม่ฮ่องสอน!M299"")"),101650)</f>
        <v>101650</v>
      </c>
      <c r="O404" s="168">
        <f t="shared" ca="1" si="112"/>
        <v>97.189023807247352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IFERROR(__xludf.DUMMYFUNCTION("IMPORTRANGE(""https://docs.google.com/spreadsheets/d/11923uPwbBZFjjGgGUA6NLw09EwE0CqkOc4q9oUmW1yo/edit?usp=sharing"",""แม่ฮ่องสอน!M301"")"),101650)</f>
        <v>101650</v>
      </c>
      <c r="O406" s="168">
        <f t="shared" ca="1" si="112"/>
        <v>97.189023807247352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IFERROR(__xludf.DUMMYFUNCTION("IMPORTRANGE(""https://docs.google.com/spreadsheets/d/11923uPwbBZFjjGgGUA6NLw09EwE0CqkOc4q9oUmW1yo/edit?usp=sharing"",""แม่ฮ่องสอน!M305"")"),19880)</f>
        <v>19880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IFERROR(__xludf.DUMMYFUNCTION("IMPORTRANGE(""https://docs.google.com/spreadsheets/d/11923uPwbBZFjjGgGUA6NLw09EwE0CqkOc4q9oUmW1yo/edit?usp=sharing"",""แม่ฮ่องสอน!M330"")"),77659)</f>
        <v>77659</v>
      </c>
      <c r="O435" s="411">
        <f t="shared" ref="O435:O439" ca="1" si="114">+IF(L435&gt;0,N435*100/L435,0)</f>
        <v>77.659000000000006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IFERROR(__xludf.DUMMYFUNCTION("IMPORTRANGE(""https://docs.google.com/spreadsheets/d/11923uPwbBZFjjGgGUA6NLw09EwE0CqkOc4q9oUmW1yo/edit?usp=sharing"",""แม่ฮ่องสอน!M332"")"),77659)</f>
        <v>77659</v>
      </c>
      <c r="O437" s="168">
        <f t="shared" ca="1" si="114"/>
        <v>77.659000000000006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IFERROR(__xludf.DUMMYFUNCTION("IMPORTRANGE(""https://docs.google.com/spreadsheets/d/11923uPwbBZFjjGgGUA6NLw09EwE0CqkOc4q9oUmW1yo/edit?usp=sharing"",""แม่ฮ่องสอน!M334"")"),77659)</f>
        <v>77659</v>
      </c>
      <c r="O439" s="168">
        <f t="shared" ca="1" si="114"/>
        <v>77.659000000000006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IFERROR(__xludf.DUMMYFUNCTION("IMPORTRANGE(""https://docs.google.com/spreadsheets/d/11923uPwbBZFjjGgGUA6NLw09EwE0CqkOc4q9oUmW1yo/edit?usp=sharing"",""แม่ฮ่องสอน!M338"")"),33459)</f>
        <v>33459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IFERROR(__xludf.DUMMYFUNCTION("IMPORTRANGE(""https://docs.google.com/spreadsheets/d/11923uPwbBZFjjGgGUA6NLw09EwE0CqkOc4q9oUmW1yo/edit?usp=sharing"",""แม่ฮ่องสอน!J459"")"),341)</f>
        <v>341</v>
      </c>
      <c r="K564" s="371">
        <f ca="1">IF(I564&gt;0,J564*100/I564,0)</f>
        <v>136.4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IFERROR(__xludf.DUMMYFUNCTION("IMPORTRANGE(""https://docs.google.com/spreadsheets/d/11923uPwbBZFjjGgGUA6NLw09EwE0CqkOc4q9oUmW1yo/edit?usp=sharing"",""แม่ฮ่องสอน!M459"")"),88187)</f>
        <v>88187</v>
      </c>
      <c r="O564" s="372">
        <f t="shared" ref="O564:O568" ca="1" si="122">+IF(L564&gt;0,N564*100/L564,0)</f>
        <v>67.794434194341946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IFERROR(__xludf.DUMMYFUNCTION("IMPORTRANGE(""https://docs.google.com/spreadsheets/d/11923uPwbBZFjjGgGUA6NLw09EwE0CqkOc4q9oUmW1yo/edit?usp=sharing"",""แม่ฮ่องสอน!M461"")"),88187)</f>
        <v>88187</v>
      </c>
      <c r="O566" s="168">
        <f t="shared" ca="1" si="122"/>
        <v>67.794434194341946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IFERROR(__xludf.DUMMYFUNCTION("IMPORTRANGE(""https://docs.google.com/spreadsheets/d/11923uPwbBZFjjGgGUA6NLw09EwE0CqkOc4q9oUmW1yo/edit?usp=sharing"",""แม่ฮ่องสอน!M463"")"),88187)</f>
        <v>88187</v>
      </c>
      <c r="O568" s="168">
        <f t="shared" ca="1" si="122"/>
        <v>67.794434194341946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IFERROR(__xludf.DUMMYFUNCTION("IMPORTRANGE(""https://docs.google.com/spreadsheets/d/11923uPwbBZFjjGgGUA6NLw09EwE0CqkOc4q9oUmW1yo/edit?usp=sharing"",""แม่ฮ่องสอน!M466"")"),65607)</f>
        <v>65607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IFERROR(__xludf.DUMMYFUNCTION("IMPORTRANGE(""https://docs.google.com/spreadsheets/d/11923uPwbBZFjjGgGUA6NLw09EwE0CqkOc4q9oUmW1yo/edit?usp=sharing"",""แม่ฮ่องสอน!M467"")"),22580)</f>
        <v>22580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IFERROR(__xludf.DUMMYFUNCTION("IMPORTRANGE(""https://docs.google.com/spreadsheets/d/11923uPwbBZFjjGgGUA6NLw09EwE0CqkOc4q9oUmW1yo/edit?usp=sharing"",""แม่ฮ่องสอน!J468"")"),341)</f>
        <v>341</v>
      </c>
      <c r="K573" s="201">
        <f ca="1">IF(I573&gt;0,J573*100/I573,0)</f>
        <v>136.4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IFERROR(__xludf.DUMMYFUNCTION("IMPORTRANGE(""https://docs.google.com/spreadsheets/d/11923uPwbBZFjjGgGUA6NLw09EwE0CqkOc4q9oUmW1yo/edit?usp=sharing"",""แม่ฮ่องสอน!J471"")"),215)</f>
        <v>215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IFERROR(__xludf.DUMMYFUNCTION("IMPORTRANGE(""https://docs.google.com/spreadsheets/d/11923uPwbBZFjjGgGUA6NLw09EwE0CqkOc4q9oUmW1yo/edit?usp=sharing"",""แม่ฮ่องสอน!J472"")"),126)</f>
        <v>126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IFERROR(__xludf.DUMMYFUNCTION("IMPORTRANGE(""https://docs.google.com/spreadsheets/d/11923uPwbBZFjjGgGUA6NLw09EwE0CqkOc4q9oUmW1yo/edit?usp=sharing"",""แม่ฮ่องสอน!L475"")"),128934)</f>
        <v>128934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IFERROR(__xludf.DUMMYFUNCTION("IMPORTRANGE(""https://docs.google.com/spreadsheets/d/11923uPwbBZFjjGgGUA6NLw09EwE0CqkOc4q9oUmW1yo/edit?usp=sharing"",""แม่ฮ่องสอน!M475"")"),44620)</f>
        <v>44620</v>
      </c>
      <c r="O580" s="372">
        <f t="shared" ref="O580:O584" ca="1" si="124">+IF(L580&gt;0,N580*100/L580,0)</f>
        <v>34.606853118649852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34.606853118649852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34.606853118649852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7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IFERROR(__xludf.DUMMYFUNCTION("IMPORTRANGE(""https://docs.google.com/spreadsheets/d/11923uPwbBZFjjGgGUA6NLw09EwE0CqkOc4q9oUmW1yo/edit?usp=sharing"",""แม่ฮ่องสอน!M492"")"),3910)</f>
        <v>3910</v>
      </c>
      <c r="O597" s="411">
        <f t="shared" ref="O597:O601" ca="1" si="126">+IF(L597&gt;0,N597*100/L597,0)</f>
        <v>56.258992805755398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IFERROR(__xludf.DUMMYFUNCTION("IMPORTRANGE(""https://docs.google.com/spreadsheets/d/11923uPwbBZFjjGgGUA6NLw09EwE0CqkOc4q9oUmW1yo/edit?usp=sharing"",""แม่ฮ่องสอน!M494"")"),3910)</f>
        <v>3910</v>
      </c>
      <c r="O599" s="168">
        <f t="shared" ca="1" si="126"/>
        <v>56.258992805755398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IFERROR(__xludf.DUMMYFUNCTION("IMPORTRANGE(""https://docs.google.com/spreadsheets/d/11923uPwbBZFjjGgGUA6NLw09EwE0CqkOc4q9oUmW1yo/edit?usp=sharing"",""แม่ฮ่องสอน!M496"")"),3910)</f>
        <v>3910</v>
      </c>
      <c r="O601" s="168">
        <f t="shared" ca="1" si="126"/>
        <v>56.258992805755398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IFERROR(__xludf.DUMMYFUNCTION("IMPORTRANGE(""https://docs.google.com/spreadsheets/d/11923uPwbBZFjjGgGUA6NLw09EwE0CqkOc4q9oUmW1yo/edit?usp=sharing"",""แม่ฮ่องสอน!M500"")"),3910)</f>
        <v>3910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IFERROR(__xludf.DUMMYFUNCTION("IMPORTRANGE(""https://docs.google.com/spreadsheets/d/11923uPwbBZFjjGgGUA6NLw09EwE0CqkOc4q9oUmW1yo/edit?usp=sharing"",""แม่ฮ่องสอน!J523"")"),799954.98)</f>
        <v>799954.98</v>
      </c>
      <c r="K628" s="342">
        <f t="shared" ref="K628:K635" ca="1" si="129">IF(I628&gt;0,J628*100/I628,0)</f>
        <v>95.336285674953871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IFERROR(__xludf.DUMMYFUNCTION("IMPORTRANGE(""https://docs.google.com/spreadsheets/d/11923uPwbBZFjjGgGUA6NLw09EwE0CqkOc4q9oUmW1yo/edit?usp=sharing"",""แม่ฮ่องสอน!J524"")"),76)</f>
        <v>76</v>
      </c>
      <c r="K629" s="342">
        <f t="shared" ca="1" si="129"/>
        <v>90.476190476190482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IFERROR(__xludf.DUMMYFUNCTION("IMPORTRANGE(""https://docs.google.com/spreadsheets/d/11923uPwbBZFjjGgGUA6NLw09EwE0CqkOc4q9oUmW1yo/edit?usp=sharing"",""แม่ฮ่องสอน!J525"")"),127939.84)</f>
        <v>127939.84</v>
      </c>
      <c r="K630" s="342">
        <f t="shared" ca="1" si="129"/>
        <v>37.480413134624982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IFERROR(__xludf.DUMMYFUNCTION("IMPORTRANGE(""https://docs.google.com/spreadsheets/d/11923uPwbBZFjjGgGUA6NLw09EwE0CqkOc4q9oUmW1yo/edit?usp=sharing"",""แม่ฮ่องสอน!J526"")"),22)</f>
        <v>22</v>
      </c>
      <c r="K631" s="342">
        <f t="shared" ca="1" si="129"/>
        <v>81.481481481481481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1">
        <f ca="1">IFERROR(__xludf.DUMMYFUNCTION("IMPORTRANGE(""https://docs.google.com/spreadsheets/d/11923uPwbBZFjjGgGUA6NLw09EwE0CqkOc4q9oUmW1yo/edit?usp=sharing"",""แม่ฮ่องสอน!J529"")"),900000)</f>
        <v>900000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IFERROR(__xludf.DUMMYFUNCTION("IMPORTRANGE(""https://docs.google.com/spreadsheets/d/11923uPwbBZFjjGgGUA6NLw09EwE0CqkOc4q9oUmW1yo/edit?usp=sharing"",""แม่ฮ่องสอน!I530"")"),30)</f>
        <v>30</v>
      </c>
      <c r="J635" s="504">
        <f ca="1">IFERROR(__xludf.DUMMYFUNCTION("IMPORTRANGE(""https://docs.google.com/spreadsheets/d/11923uPwbBZFjjGgGUA6NLw09EwE0CqkOc4q9oUmW1yo/edit?usp=sharing"",""แม่ฮ่องสอน!J530"")"),28)</f>
        <v>28</v>
      </c>
      <c r="K635" s="486">
        <f t="shared" ca="1" si="129"/>
        <v>93.333333333333329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IFERROR(__xludf.DUMMYFUNCTION("IMPORTRANGE(""https://docs.google.com/spreadsheets/d/11923uPwbBZFjjGgGUA6NLw09EwE0CqkOc4q9oUmW1yo/edit?usp=sharing"",""แม่ฮ่องสอน!J541"")"),0)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IFERROR(__xludf.DUMMYFUNCTION("IMPORTRANGE(""https://docs.google.com/spreadsheets/d/11923uPwbBZFjjGgGUA6NLw09EwE0CqkOc4q9oUmW1yo/edit?usp=sharing"",""แม่ฮ่องสอน!J542"")"),0)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IFERROR(__xludf.DUMMYFUNCTION("IMPORTRANGE(""https://docs.google.com/spreadsheets/d/11923uPwbBZFjjGgGUA6NLw09EwE0CqkOc4q9oUmW1yo/edit?usp=sharing"",""แม่ฮ่องสอน!I543"")"),0)</f>
        <v>0</v>
      </c>
      <c r="J648" s="535">
        <f ca="1">IFERROR(__xludf.DUMMYFUNCTION("IMPORTRANGE(""https://docs.google.com/spreadsheets/d/11923uPwbBZFjjGgGUA6NLw09EwE0CqkOc4q9oUmW1yo/edit?usp=sharing"",""แม่ฮ่องสอน!J543"")"),0)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IFERROR(__xludf.DUMMYFUNCTION("IMPORTRANGE(""https://docs.google.com/spreadsheets/d/11923uPwbBZFjjGgGUA6NLw09EwE0CqkOc4q9oUmW1yo/edit?usp=sharing"",""แม่ฮ่องสอน!L543"")"),0)</f>
        <v>0</v>
      </c>
      <c r="M648" s="520"/>
      <c r="N648" s="537">
        <f ca="1">IFERROR(__xludf.DUMMYFUNCTION("IMPORTRANGE(""https://docs.google.com/spreadsheets/d/11923uPwbBZFjjGgGUA6NLw09EwE0CqkOc4q9oUmW1yo/edit?usp=sharing"",""แม่ฮ่องสอน!M543"")"),0)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IFERROR(__xludf.DUMMYFUNCTION("IMPORTRANGE(""https://docs.google.com/spreadsheets/d/11923uPwbBZFjjGgGUA6NLw09EwE0CqkOc4q9oUmW1yo/edit?usp=sharing"",""แม่ฮ่องสอน!I544"")"),0)</f>
        <v>0</v>
      </c>
      <c r="J649" s="535">
        <f ca="1">IFERROR(__xludf.DUMMYFUNCTION("IMPORTRANGE(""https://docs.google.com/spreadsheets/d/11923uPwbBZFjjGgGUA6NLw09EwE0CqkOc4q9oUmW1yo/edit?usp=sharing"",""แม่ฮ่องสอน!J544"")"),0)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IFERROR(__xludf.DUMMYFUNCTION("IMPORTRANGE(""https://docs.google.com/spreadsheets/d/11923uPwbBZFjjGgGUA6NLw09EwE0CqkOc4q9oUmW1yo/edit?usp=sharing"",""แม่ฮ่องสอน!L544"")"),0)</f>
        <v>0</v>
      </c>
      <c r="M649" s="520"/>
      <c r="N649" s="537">
        <f ca="1">IFERROR(__xludf.DUMMYFUNCTION("IMPORTRANGE(""https://docs.google.com/spreadsheets/d/11923uPwbBZFjjGgGUA6NLw09EwE0CqkOc4q9oUmW1yo/edit?usp=sharing"",""แม่ฮ่องสอน!M544"")"),0)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IFERROR(__xludf.DUMMYFUNCTION("IMPORTRANGE(""https://docs.google.com/spreadsheets/d/11923uPwbBZFjjGgGUA6NLw09EwE0CqkOc4q9oUmW1yo/edit?usp=sharing"",""แม่ฮ่องสอน!I545"")"),0)</f>
        <v>0</v>
      </c>
      <c r="J650" s="535">
        <f ca="1">IFERROR(__xludf.DUMMYFUNCTION("IMPORTRANGE(""https://docs.google.com/spreadsheets/d/11923uPwbBZFjjGgGUA6NLw09EwE0CqkOc4q9oUmW1yo/edit?usp=sharing"",""แม่ฮ่องสอน!J545"")"),0)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IFERROR(__xludf.DUMMYFUNCTION("IMPORTRANGE(""https://docs.google.com/spreadsheets/d/11923uPwbBZFjjGgGUA6NLw09EwE0CqkOc4q9oUmW1yo/edit?usp=sharing"",""แม่ฮ่องสอน!L545"")"),0)</f>
        <v>0</v>
      </c>
      <c r="M650" s="520"/>
      <c r="N650" s="537">
        <f ca="1">IFERROR(__xludf.DUMMYFUNCTION("IMPORTRANGE(""https://docs.google.com/spreadsheets/d/11923uPwbBZFjjGgGUA6NLw09EwE0CqkOc4q9oUmW1yo/edit?usp=sharing"",""แม่ฮ่องสอน!M545"")"),0)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IFERROR(__xludf.DUMMYFUNCTION("IMPORTRANGE(""https://docs.google.com/spreadsheets/d/11923uPwbBZFjjGgGUA6NLw09EwE0CqkOc4q9oUmW1yo/edit?usp=sharing"",""แม่ฮ่องสอน!I546"")"),0)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IFERROR(__xludf.DUMMYFUNCTION("IMPORTRANGE(""https://docs.google.com/spreadsheets/d/11923uPwbBZFjjGgGUA6NLw09EwE0CqkOc4q9oUmW1yo/edit?usp=sharing"",""แม่ฮ่องสอน!L546"")"),0)</f>
        <v>0</v>
      </c>
      <c r="M651" s="520"/>
      <c r="N651" s="537">
        <f ca="1">IFERROR(__xludf.DUMMYFUNCTION("IMPORTRANGE(""https://docs.google.com/spreadsheets/d/11923uPwbBZFjjGgGUA6NLw09EwE0CqkOc4q9oUmW1yo/edit?usp=sharing"",""แม่ฮ่องสอน!M546"")"),0)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IFERROR(__xludf.DUMMYFUNCTION("IMPORTRANGE(""https://docs.google.com/spreadsheets/d/11923uPwbBZFjjGgGUA6NLw09EwE0CqkOc4q9oUmW1yo/edit?usp=sharing"",""แม่ฮ่องสอน!J547"")"),0)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IFERROR(__xludf.DUMMYFUNCTION("IMPORTRANGE(""https://docs.google.com/spreadsheets/d/11923uPwbBZFjjGgGUA6NLw09EwE0CqkOc4q9oUmW1yo/edit?usp=sharing"",""แม่ฮ่องสอน!J548"")"),0)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IFERROR(__xludf.DUMMYFUNCTION("IMPORTRANGE(""https://docs.google.com/spreadsheets/d/11923uPwbBZFjjGgGUA6NLw09EwE0CqkOc4q9oUmW1yo/edit?usp=sharing"",""แม่ฮ่องสอน!J550"")"),0)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IFERROR(__xludf.DUMMYFUNCTION("IMPORTRANGE(""https://docs.google.com/spreadsheets/d/11923uPwbBZFjjGgGUA6NLw09EwE0CqkOc4q9oUmW1yo/edit?usp=sharing"",""แม่ฮ่องสอน!J551"")"),0)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IFERROR(__xludf.DUMMYFUNCTION("IMPORTRANGE(""https://docs.google.com/spreadsheets/d/11923uPwbBZFjjGgGUA6NLw09EwE0CqkOc4q9oUmW1yo/edit?usp=sharing"",""แม่ฮ่องสอน!J552"")"),0)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IFERROR(__xludf.DUMMYFUNCTION("IMPORTRANGE(""https://docs.google.com/spreadsheets/d/11923uPwbBZFjjGgGUA6NLw09EwE0CqkOc4q9oUmW1yo/edit?usp=sharing"",""แม่ฮ่องสอน!J553"")"),0)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IFERROR(__xludf.DUMMYFUNCTION("IMPORTRANGE(""https://docs.google.com/spreadsheets/d/11923uPwbBZFjjGgGUA6NLw09EwE0CqkOc4q9oUmW1yo/edit?usp=sharing"",""แม่ฮ่องสอน!J554"")"),0)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IFERROR(__xludf.DUMMYFUNCTION("IMPORTRANGE(""https://docs.google.com/spreadsheets/d/11923uPwbBZFjjGgGUA6NLw09EwE0CqkOc4q9oUmW1yo/edit?usp=sharing"",""แม่ฮ่องสอน!J555"")"),0)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IFERROR(__xludf.DUMMYFUNCTION("IMPORTRANGE(""https://docs.google.com/spreadsheets/d/11923uPwbBZFjjGgGUA6NLw09EwE0CqkOc4q9oUmW1yo/edit?usp=sharing"",""แม่ฮ่องสอน!J556"")"),0)</f>
        <v>0</v>
      </c>
      <c r="K661" s="536"/>
      <c r="L661" s="521">
        <f ca="1">IFERROR(__xludf.DUMMYFUNCTION("IMPORTRANGE(""https://docs.google.com/spreadsheets/d/11923uPwbBZFjjGgGUA6NLw09EwE0CqkOc4q9oUmW1yo/edit?usp=sharing"",""แม่ฮ่องสอน!L556"")"),0)</f>
        <v>0</v>
      </c>
      <c r="M661" s="520"/>
      <c r="N661" s="537">
        <f ca="1">IFERROR(__xludf.DUMMYFUNCTION("IMPORTRANGE(""https://docs.google.com/spreadsheets/d/11923uPwbBZFjjGgGUA6NLw09EwE0CqkOc4q9oUmW1yo/edit?usp=sharing"",""แม่ฮ่องสอน!M556"")"),0)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IFERROR(__xludf.DUMMYFUNCTION("IMPORTRANGE(""https://docs.google.com/spreadsheets/d/11923uPwbBZFjjGgGUA6NLw09EwE0CqkOc4q9oUmW1yo/edit?usp=sharing"",""แม่ฮ่องสอน!J557"")"),0)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IFERROR(__xludf.DUMMYFUNCTION("IMPORTRANGE(""https://docs.google.com/spreadsheets/d/11923uPwbBZFjjGgGUA6NLw09EwE0CqkOc4q9oUmW1yo/edit?usp=sharing"",""แม่ฮ่องสอน!I558"")"),0)</f>
        <v>0</v>
      </c>
      <c r="J663" s="535">
        <f ca="1">IFERROR(__xludf.DUMMYFUNCTION("IMPORTRANGE(""https://docs.google.com/spreadsheets/d/11923uPwbBZFjjGgGUA6NLw09EwE0CqkOc4q9oUmW1yo/edit?usp=sharing"",""แม่ฮ่องสอน!J558"")"),0)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IFERROR(__xludf.DUMMYFUNCTION("IMPORTRANGE(""https://docs.google.com/spreadsheets/d/11923uPwbBZFjjGgGUA6NLw09EwE0CqkOc4q9oUmW1yo/edit?usp=sharing"",""แม่ฮ่องสอน!I560"")"),0)</f>
        <v>0</v>
      </c>
      <c r="J665" s="535">
        <f ca="1">IFERROR(__xludf.DUMMYFUNCTION("IMPORTRANGE(""https://docs.google.com/spreadsheets/d/11923uPwbBZFjjGgGUA6NLw09EwE0CqkOc4q9oUmW1yo/edit?usp=sharing"",""แม่ฮ่องสอน!J560"")"),0)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IFERROR(__xludf.DUMMYFUNCTION("IMPORTRANGE(""https://docs.google.com/spreadsheets/d/11923uPwbBZFjjGgGUA6NLw09EwE0CqkOc4q9oUmW1yo/edit?usp=sharing"",""แม่ฮ่องสอน!L560"")"),0)</f>
        <v>0</v>
      </c>
      <c r="M665" s="520"/>
      <c r="N665" s="537">
        <f ca="1">IFERROR(__xludf.DUMMYFUNCTION("IMPORTRANGE(""https://docs.google.com/spreadsheets/d/11923uPwbBZFjjGgGUA6NLw09EwE0CqkOc4q9oUmW1yo/edit?usp=sharing"",""แม่ฮ่องสอน!M560"")"),0)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IFERROR(__xludf.DUMMYFUNCTION("IMPORTRANGE(""https://docs.google.com/spreadsheets/d/11923uPwbBZFjjGgGUA6NLw09EwE0CqkOc4q9oUmW1yo/edit?usp=sharing"",""แม่ฮ่องสอน!J561"")"),0)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IFERROR(__xludf.DUMMYFUNCTION("IMPORTRANGE(""https://docs.google.com/spreadsheets/d/11923uPwbBZFjjGgGUA6NLw09EwE0CqkOc4q9oUmW1yo/edit?usp=sharing"",""แม่ฮ่องสอน!J562"")"),0)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IFERROR(__xludf.DUMMYFUNCTION("IMPORTRANGE(""https://docs.google.com/spreadsheets/d/11923uPwbBZFjjGgGUA6NLw09EwE0CqkOc4q9oUmW1yo/edit?usp=sharing"",""แม่ฮ่องสอน!I563"")"),0)</f>
        <v>0</v>
      </c>
      <c r="J668" s="535">
        <f ca="1">IFERROR(__xludf.DUMMYFUNCTION("IMPORTRANGE(""https://docs.google.com/spreadsheets/d/11923uPwbBZFjjGgGUA6NLw09EwE0CqkOc4q9oUmW1yo/edit?usp=sharing"",""แม่ฮ่องสอน!J563"")"),0)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IFERROR(__xludf.DUMMYFUNCTION("IMPORTRANGE(""https://docs.google.com/spreadsheets/d/11923uPwbBZFjjGgGUA6NLw09EwE0CqkOc4q9oUmW1yo/edit?usp=sharing"",""แม่ฮ่องสอน!L563"")"),0)</f>
        <v>0</v>
      </c>
      <c r="M668" s="520"/>
      <c r="N668" s="537">
        <f ca="1">IFERROR(__xludf.DUMMYFUNCTION("IMPORTRANGE(""https://docs.google.com/spreadsheets/d/11923uPwbBZFjjGgGUA6NLw09EwE0CqkOc4q9oUmW1yo/edit?usp=sharing"",""แม่ฮ่องสอน!M563"")"),0)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IFERROR(__xludf.DUMMYFUNCTION("IMPORTRANGE(""https://docs.google.com/spreadsheets/d/11923uPwbBZFjjGgGUA6NLw09EwE0CqkOc4q9oUmW1yo/edit?usp=sharing"",""แม่ฮ่องสอน!J564"")"),0)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IFERROR(__xludf.DUMMYFUNCTION("IMPORTRANGE(""https://docs.google.com/spreadsheets/d/11923uPwbBZFjjGgGUA6NLw09EwE0CqkOc4q9oUmW1yo/edit?usp=sharing"",""แม่ฮ่องสอน!J565"")"),0)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IFERROR(__xludf.DUMMYFUNCTION("IMPORTRANGE(""https://docs.google.com/spreadsheets/d/11923uPwbBZFjjGgGUA6NLw09EwE0CqkOc4q9oUmW1yo/edit?usp=sharing"",""แม่ฮ่องสอน!I566"")"),0)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IFERROR(__xludf.DUMMYFUNCTION("IMPORTRANGE(""https://docs.google.com/spreadsheets/d/11923uPwbBZFjjGgGUA6NLw09EwE0CqkOc4q9oUmW1yo/edit?usp=sharing"",""แม่ฮ่องสอน!L566"")"),0)</f>
        <v>0</v>
      </c>
      <c r="M671" s="520"/>
      <c r="N671" s="537">
        <f ca="1">IFERROR(__xludf.DUMMYFUNCTION("IMPORTRANGE(""https://docs.google.com/spreadsheets/d/11923uPwbBZFjjGgGUA6NLw09EwE0CqkOc4q9oUmW1yo/edit?usp=sharing"",""แม่ฮ่องสอน!M566"")"),0)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IFERROR(__xludf.DUMMYFUNCTION("IMPORTRANGE(""https://docs.google.com/spreadsheets/d/11923uPwbBZFjjGgGUA6NLw09EwE0CqkOc4q9oUmW1yo/edit?usp=sharing"",""แม่ฮ่องสอน!J567"")"),0)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IFERROR(__xludf.DUMMYFUNCTION("IMPORTRANGE(""https://docs.google.com/spreadsheets/d/11923uPwbBZFjjGgGUA6NLw09EwE0CqkOc4q9oUmW1yo/edit?usp=sharing"",""แม่ฮ่องสอน!J568"")"),0)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IFERROR(__xludf.DUMMYFUNCTION("IMPORTRANGE(""https://docs.google.com/spreadsheets/d/11923uPwbBZFjjGgGUA6NLw09EwE0CqkOc4q9oUmW1yo/edit?usp=sharing"",""แม่ฮ่องสอน!J569"")"),0)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IFERROR(__xludf.DUMMYFUNCTION("IMPORTRANGE(""https://docs.google.com/spreadsheets/d/11923uPwbBZFjjGgGUA6NLw09EwE0CqkOc4q9oUmW1yo/edit?usp=sharing"",""แม่ฮ่องสอน!J570"")"),0)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IFERROR(__xludf.DUMMYFUNCTION("IMPORTRANGE(""https://docs.google.com/spreadsheets/d/11923uPwbBZFjjGgGUA6NLw09EwE0CqkOc4q9oUmW1yo/edit?usp=sharing"",""แม่ฮ่องสอน!J571"")"),0)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IFERROR(__xludf.DUMMYFUNCTION("IMPORTRANGE(""https://docs.google.com/spreadsheets/d/11923uPwbBZFjjGgGUA6NLw09EwE0CqkOc4q9oUmW1yo/edit?usp=sharing"",""แม่ฮ่องสอน!J572"")"),0)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284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5350855</v>
      </c>
      <c r="M8" s="23">
        <f t="shared" ca="1" si="0"/>
        <v>2228150</v>
      </c>
      <c r="N8" s="23">
        <f t="shared" ca="1" si="0"/>
        <v>2768600.83</v>
      </c>
      <c r="O8" s="22">
        <f t="shared" ref="O8:O16" ca="1" si="1">IF(L8&gt;0,N8*100/L8,0)</f>
        <v>51.741279290879682</v>
      </c>
      <c r="P8" s="22">
        <f t="shared" ref="P8:P16" ca="1" si="2">IF(M8&gt;0,N8*100/M8,0)</f>
        <v>124.25558557547741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5350855</v>
      </c>
      <c r="M10" s="30">
        <f t="shared" ca="1" si="4"/>
        <v>2228150</v>
      </c>
      <c r="N10" s="30">
        <f t="shared" ca="1" si="4"/>
        <v>2768600.83</v>
      </c>
      <c r="O10" s="29">
        <f t="shared" ca="1" si="1"/>
        <v>51.741279290879682</v>
      </c>
      <c r="P10" s="29">
        <f t="shared" ca="1" si="2"/>
        <v>124.25558557547741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5140860</v>
      </c>
      <c r="M12" s="39">
        <f t="shared" ca="1" si="6"/>
        <v>2018155</v>
      </c>
      <c r="N12" s="39">
        <f t="shared" ca="1" si="6"/>
        <v>2558605.83</v>
      </c>
      <c r="O12" s="39">
        <f t="shared" ca="1" si="1"/>
        <v>49.769996265216328</v>
      </c>
      <c r="P12" s="39">
        <f t="shared" ca="1" si="2"/>
        <v>126.77945103324571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3307260</v>
      </c>
      <c r="M14" s="39">
        <f t="shared" si="8"/>
        <v>0</v>
      </c>
      <c r="N14" s="39">
        <f t="shared" ca="1" si="8"/>
        <v>940670.58999999985</v>
      </c>
      <c r="O14" s="39">
        <f t="shared" ca="1" si="1"/>
        <v>28.44259568343583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209995</v>
      </c>
      <c r="M16" s="39">
        <f t="shared" ca="1" si="10"/>
        <v>209995</v>
      </c>
      <c r="N16" s="39">
        <f t="shared" ca="1" si="10"/>
        <v>209995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2717420</v>
      </c>
      <c r="M18" s="23">
        <f t="shared" ca="1" si="11"/>
        <v>2228150</v>
      </c>
      <c r="N18" s="23">
        <f t="shared" ca="1" si="11"/>
        <v>1827930.24</v>
      </c>
      <c r="O18" s="22">
        <f t="shared" ref="O18:O20" ca="1" si="12">IF(L18&gt;0,N18*100/L18,0)</f>
        <v>67.267122491186498</v>
      </c>
      <c r="P18" s="22">
        <f t="shared" ref="P18:P26" ca="1" si="13">IF(M18&gt;0,N18*100/M18,0)</f>
        <v>82.038024369993039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2717420</v>
      </c>
      <c r="M20" s="30">
        <f t="shared" ca="1" si="15"/>
        <v>2228150</v>
      </c>
      <c r="N20" s="30">
        <f t="shared" ca="1" si="15"/>
        <v>1827930.24</v>
      </c>
      <c r="O20" s="29">
        <f t="shared" ca="1" si="12"/>
        <v>67.267122491186498</v>
      </c>
      <c r="P20" s="29">
        <f t="shared" ca="1" si="13"/>
        <v>82.038024369993039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2507425</v>
      </c>
      <c r="M22" s="42">
        <f t="shared" ca="1" si="18"/>
        <v>2018155</v>
      </c>
      <c r="N22" s="39">
        <f t="shared" ca="1" si="18"/>
        <v>1617935.24</v>
      </c>
      <c r="O22" s="39">
        <f t="shared" ca="1" si="17"/>
        <v>64.525768068835561</v>
      </c>
      <c r="P22" s="39">
        <f t="shared" ca="1" si="13"/>
        <v>80.169027651493565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673825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209995</v>
      </c>
      <c r="M26" s="50">
        <f t="shared" ca="1" si="22"/>
        <v>209995</v>
      </c>
      <c r="N26" s="50">
        <f t="shared" ca="1" si="22"/>
        <v>209995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2633435</v>
      </c>
      <c r="M28" s="23">
        <f t="shared" si="23"/>
        <v>0</v>
      </c>
      <c r="N28" s="23">
        <f t="shared" ca="1" si="23"/>
        <v>940670.58999999985</v>
      </c>
      <c r="O28" s="22">
        <f t="shared" ref="O28:O30" ca="1" si="24">IF(L28&gt;0,N28*100/L28,0)</f>
        <v>35.720288900238657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2633435</v>
      </c>
      <c r="M30" s="30">
        <f t="shared" si="27"/>
        <v>0</v>
      </c>
      <c r="N30" s="30">
        <f t="shared" ca="1" si="27"/>
        <v>940670.58999999985</v>
      </c>
      <c r="O30" s="29">
        <f t="shared" ca="1" si="24"/>
        <v>35.720288900238657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2633435</v>
      </c>
      <c r="M32" s="39">
        <f t="shared" si="30"/>
        <v>0</v>
      </c>
      <c r="N32" s="39">
        <f t="shared" ca="1" si="30"/>
        <v>940670.58999999985</v>
      </c>
      <c r="O32" s="39">
        <f t="shared" ca="1" si="29"/>
        <v>35.720288900238657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2633435</v>
      </c>
      <c r="M34" s="39">
        <f t="shared" si="32"/>
        <v>0</v>
      </c>
      <c r="N34" s="39">
        <f t="shared" ca="1" si="32"/>
        <v>940670.58999999985</v>
      </c>
      <c r="O34" s="39">
        <f t="shared" ca="1" si="29"/>
        <v>35.720288900238657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2717420</v>
      </c>
      <c r="M37" s="55">
        <f t="shared" ca="1" si="33"/>
        <v>2228150</v>
      </c>
      <c r="N37" s="55">
        <f t="shared" ca="1" si="33"/>
        <v>1827930.2399999998</v>
      </c>
      <c r="O37" s="56">
        <f t="shared" ca="1" si="29"/>
        <v>67.267122491186484</v>
      </c>
      <c r="P37" s="56">
        <f t="shared" ca="1" si="25"/>
        <v>82.038024369993025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483300</v>
      </c>
      <c r="N41" s="79">
        <f t="shared" ca="1" si="34"/>
        <v>439561.18</v>
      </c>
      <c r="O41" s="78">
        <f t="shared" ref="O41:O43" ca="1" si="35">IF(L41&gt;0,N41*100/L41,0)</f>
        <v>68.212473618870263</v>
      </c>
      <c r="P41" s="78">
        <f t="shared" ref="P41:P43" ca="1" si="36">IF(M41&gt;0,N41*100/M41,0)</f>
        <v>90.94996482516035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483300</v>
      </c>
      <c r="N43" s="79">
        <f t="shared" ca="1" si="38"/>
        <v>439561.18</v>
      </c>
      <c r="O43" s="78">
        <f t="shared" ca="1" si="35"/>
        <v>68.212473618870263</v>
      </c>
      <c r="P43" s="78">
        <f t="shared" ca="1" si="36"/>
        <v>90.94996482516035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IFERROR(__xludf.DUMMYFUNCTION("IMPORTRANGE(""https://docs.google.com/spreadsheets/d/1Yj_ptqi66GCucihVvJfMjLAmec39IyEx_6qawtMGysU/edit?usp=sharing"",""สบก!Q32"")"),483300)</f>
        <v>483300</v>
      </c>
      <c r="N45" s="50">
        <f ca="1">IFERROR(__xludf.DUMMYFUNCTION("IMPORTRANGE(""https://docs.google.com/spreadsheets/d/1Yj_ptqi66GCucihVvJfMjLAmec39IyEx_6qawtMGysU/edit?usp=sharing"",""สบก!R32"")"),439561.18)</f>
        <v>439561.18</v>
      </c>
      <c r="O45" s="39">
        <f ca="1">IF(L45&gt;0,N45*100/L45,0)</f>
        <v>68.212473618870263</v>
      </c>
      <c r="P45" s="39">
        <f ca="1">IF(M45&gt;0,N45*100/M45,0)</f>
        <v>90.94996482516035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438720</v>
      </c>
      <c r="N53" s="121">
        <f t="shared" ca="1" si="39"/>
        <v>348294</v>
      </c>
      <c r="O53" s="120">
        <f t="shared" ref="O53:O55" ca="1" si="40">IF(L53&gt;0,N53*100/L53,0)</f>
        <v>61.536042402826858</v>
      </c>
      <c r="P53" s="120">
        <f t="shared" ref="P53:P55" ca="1" si="41">IF(M53&gt;0,N53*100/M53,0)</f>
        <v>79.388676148796492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438720</v>
      </c>
      <c r="N55" s="121">
        <f t="shared" ca="1" si="43"/>
        <v>348294</v>
      </c>
      <c r="O55" s="120">
        <f t="shared" ca="1" si="40"/>
        <v>61.536042402826858</v>
      </c>
      <c r="P55" s="120">
        <f t="shared" ca="1" si="41"/>
        <v>79.388676148796492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IFERROR(__xludf.DUMMYFUNCTION("IMPORTRANGE(""https://docs.google.com/spreadsheets/d/1Yj_ptqi66GCucihVvJfMjLAmec39IyEx_6qawtMGysU/edit?usp=sharing"",""สบก!Z32"")"),438720)</f>
        <v>438720</v>
      </c>
      <c r="N57" s="50">
        <f ca="1">IFERROR(__xludf.DUMMYFUNCTION("IMPORTRANGE(""https://docs.google.com/spreadsheets/d/1Yj_ptqi66GCucihVvJfMjLAmec39IyEx_6qawtMGysU/edit?usp=sharing"",""สบก!AA32"")"),348294)</f>
        <v>348294</v>
      </c>
      <c r="O57" s="39">
        <f ca="1">IF(L57&gt;0,N57*100/L57,0)</f>
        <v>61.536042402826858</v>
      </c>
      <c r="P57" s="39">
        <f ca="1">IF(M57&gt;0,N57*100/M57,0)</f>
        <v>79.388676148796492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IFERROR(__xludf.DUMMYFUNCTION("IMPORTRANGE(""https://docs.google.com/spreadsheets/d/1Yj_ptqi66GCucihVvJfMjLAmec39IyEx_6qawtMGysU/edit?usp=sharing"",""สบก!AI32"")"),0)</f>
        <v>0</v>
      </c>
      <c r="N70" s="168">
        <f ca="1">IFERROR(__xludf.DUMMYFUNCTION("IMPORTRANGE(""https://docs.google.com/spreadsheets/d/1Yj_ptqi66GCucihVvJfMjLAmec39IyEx_6qawtMGysU/edit?usp=sharing"",""สบก!AJ32"")"),0)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212095</v>
      </c>
      <c r="M94" s="152">
        <f t="shared" ca="1" si="52"/>
        <v>192050</v>
      </c>
      <c r="N94" s="152">
        <f t="shared" ca="1" si="52"/>
        <v>122555</v>
      </c>
      <c r="O94" s="151">
        <f t="shared" ref="O94:O96" ca="1" si="53">IF(L94&gt;0,N94*100/L94,0)</f>
        <v>57.783068907800747</v>
      </c>
      <c r="P94" s="151">
        <f t="shared" ref="P94:P96" ca="1" si="54">IF(M94&gt;0,N94*100/M94,0)</f>
        <v>63.81411090861755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212095</v>
      </c>
      <c r="M96" s="88">
        <f t="shared" ca="1" si="56"/>
        <v>192050</v>
      </c>
      <c r="N96" s="88">
        <f t="shared" ca="1" si="56"/>
        <v>122555</v>
      </c>
      <c r="O96" s="156">
        <f t="shared" ca="1" si="53"/>
        <v>57.783068907800747</v>
      </c>
      <c r="P96" s="156">
        <f t="shared" ca="1" si="54"/>
        <v>63.81411090861755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IFERROR(__xludf.DUMMYFUNCTION("IMPORTRANGE(""https://docs.google.com/spreadsheets/d/1Yj_ptqi66GCucihVvJfMjLAmec39IyEx_6qawtMGysU/edit?usp=sharing"",""สบก!AR32"")"),102055)</f>
        <v>102055</v>
      </c>
      <c r="N98" s="168">
        <f ca="1">IFERROR(__xludf.DUMMYFUNCTION("IMPORTRANGE(""https://docs.google.com/spreadsheets/d/1Yj_ptqi66GCucihVvJfMjLAmec39IyEx_6qawtMGysU/edit?usp=sharing"",""สบก!AS32"")"),32560)</f>
        <v>32560</v>
      </c>
      <c r="O98" s="168">
        <f ca="1">IF(L98&gt;0,N98*100/L98,0)</f>
        <v>26.666666666666668</v>
      </c>
      <c r="P98" s="168">
        <f ca="1">IF(M98&gt;0,N98*100/M98,0)</f>
        <v>31.904365293224242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103225</v>
      </c>
      <c r="N140" s="152">
        <f t="shared" ca="1" si="64"/>
        <v>53983</v>
      </c>
      <c r="O140" s="151">
        <f t="shared" ref="O140:O142" ca="1" si="65">IF(L140&gt;0,N140*100/L140,0)</f>
        <v>78.236231884057972</v>
      </c>
      <c r="P140" s="151">
        <f t="shared" ref="P140:P142" ca="1" si="66">IF(M140&gt;0,N140*100/M140,0)</f>
        <v>52.296439815936061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103225</v>
      </c>
      <c r="N142" s="88">
        <f t="shared" ca="1" si="68"/>
        <v>53983</v>
      </c>
      <c r="O142" s="156">
        <f t="shared" ca="1" si="65"/>
        <v>78.236231884057972</v>
      </c>
      <c r="P142" s="156">
        <f t="shared" ca="1" si="66"/>
        <v>52.296439815936061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IFERROR(__xludf.DUMMYFUNCTION("IMPORTRANGE(""https://docs.google.com/spreadsheets/d/1Yj_ptqi66GCucihVvJfMjLAmec39IyEx_6qawtMGysU/edit?usp=sharing"",""สบก!BJ32"")"),103225)</f>
        <v>103225</v>
      </c>
      <c r="N144" s="168">
        <f ca="1">IFERROR(__xludf.DUMMYFUNCTION("IMPORTRANGE(""https://docs.google.com/spreadsheets/d/1Yj_ptqi66GCucihVvJfMjLAmec39IyEx_6qawtMGysU/edit?usp=sharing"",""สบก!BK32"")"),53983)</f>
        <v>53983</v>
      </c>
      <c r="O144" s="168">
        <f ca="1">IF(L144&gt;0,N144*100/L144,0)</f>
        <v>78.236231884057972</v>
      </c>
      <c r="P144" s="168">
        <f ca="1">IF(M144&gt;0,N144*100/M144,0)</f>
        <v>52.296439815936061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154200</v>
      </c>
      <c r="N271" s="152">
        <f t="shared" ca="1" si="83"/>
        <v>112983.67</v>
      </c>
      <c r="O271" s="151">
        <f t="shared" ref="O271:O273" ca="1" si="84">IF(L271&gt;0,N271*100/L271,0)</f>
        <v>60.354524572649574</v>
      </c>
      <c r="P271" s="151">
        <f t="shared" ref="P271:P273" ca="1" si="85">IF(M271&gt;0,N271*100/M271,0)</f>
        <v>73.270862516212716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154200</v>
      </c>
      <c r="N273" s="88">
        <f t="shared" ca="1" si="87"/>
        <v>112983.67</v>
      </c>
      <c r="O273" s="156">
        <f t="shared" ca="1" si="84"/>
        <v>60.354524572649574</v>
      </c>
      <c r="P273" s="156">
        <f t="shared" ca="1" si="85"/>
        <v>73.270862516212716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IFERROR(__xludf.DUMMYFUNCTION("IMPORTRANGE(""https://docs.google.com/spreadsheets/d/1Yj_ptqi66GCucihVvJfMjLAmec39IyEx_6qawtMGysU/edit?usp=sharing"",""สบก!CK32"")"),154200)</f>
        <v>154200</v>
      </c>
      <c r="N275" s="168">
        <f ca="1">IFERROR(__xludf.DUMMYFUNCTION("IMPORTRANGE(""https://docs.google.com/spreadsheets/d/1Yj_ptqi66GCucihVvJfMjLAmec39IyEx_6qawtMGysU/edit?usp=sharing"",""สบก!CL32"")"),112983.67)</f>
        <v>112983.67</v>
      </c>
      <c r="O275" s="168">
        <f ca="1">IF(L275&gt;0,N275*100/L275,0)</f>
        <v>60.354524572649574</v>
      </c>
      <c r="P275" s="168">
        <f ca="1">IF(M275&gt;0,N275*100/M275,0)</f>
        <v>73.270862516212716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IFERROR(__xludf.DUMMYFUNCTION("IMPORTRANGE(""https://docs.google.com/spreadsheets/d/11923uPwbBZFjjGgGUA6NLw09EwE0CqkOc4q9oUmW1yo/edit?usp=sharing"",""ลำปาง!J228"")"),211)</f>
        <v>211</v>
      </c>
      <c r="K328" s="317">
        <f ca="1">IF(I328&gt;0,J328*100/I328,0)</f>
        <v>52.75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1017600</v>
      </c>
      <c r="M329" s="152">
        <f t="shared" ca="1" si="98"/>
        <v>835530</v>
      </c>
      <c r="N329" s="152">
        <f t="shared" ca="1" si="98"/>
        <v>729428.39</v>
      </c>
      <c r="O329" s="151">
        <f t="shared" ref="O329:O331" ca="1" si="99">IF(L329&gt;0,N329*100/L329,0)</f>
        <v>71.681249017295599</v>
      </c>
      <c r="P329" s="151">
        <f t="shared" ref="P329:P331" ca="1" si="100">IF(M329&gt;0,N329*100/M329,0)</f>
        <v>87.301280624274412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1017600</v>
      </c>
      <c r="M331" s="88">
        <f t="shared" ca="1" si="102"/>
        <v>835530</v>
      </c>
      <c r="N331" s="88">
        <f t="shared" ca="1" si="102"/>
        <v>729428.39</v>
      </c>
      <c r="O331" s="156">
        <f t="shared" ca="1" si="99"/>
        <v>71.681249017295599</v>
      </c>
      <c r="P331" s="156">
        <f t="shared" ca="1" si="100"/>
        <v>87.301280624274412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IFERROR(__xludf.DUMMYFUNCTION("IMPORTRANGE(""https://docs.google.com/spreadsheets/d/1Yj_ptqi66GCucihVvJfMjLAmec39IyEx_6qawtMGysU/edit?usp=sharing"",""สบก!DL32"")"),715530)</f>
        <v>715530</v>
      </c>
      <c r="N333" s="168">
        <f ca="1">IFERROR(__xludf.DUMMYFUNCTION("IMPORTRANGE(""https://docs.google.com/spreadsheets/d/1Yj_ptqi66GCucihVvJfMjLAmec39IyEx_6qawtMGysU/edit?usp=sharing"",""สบก!DM32"")"),609428.39)</f>
        <v>609428.39</v>
      </c>
      <c r="O333" s="168">
        <f ca="1">IF(L333&gt;0,N333*100/L333,0)</f>
        <v>67.895319741532973</v>
      </c>
      <c r="P333" s="168">
        <f ca="1">IF(M333&gt;0,N333*100/M333,0)</f>
        <v>85.171605662935164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IFERROR(__xludf.DUMMYFUNCTION("IMPORTRANGE(""https://docs.google.com/spreadsheets/d/1Yj_ptqi66GCucihVvJfMjLAmec39IyEx_6qawtMGysU/edit?usp=sharing"",""สบก!DJ32"")"),120000)</f>
        <v>120000</v>
      </c>
      <c r="M337" s="50">
        <f ca="1">L337</f>
        <v>120000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IFERROR(__xludf.DUMMYFUNCTION("IMPORTRANGE(""https://docs.google.com/spreadsheets/d/11923uPwbBZFjjGgGUA6NLw09EwE0CqkOc4q9oUmW1yo/edit?usp=sharing"",""ลำปาง!J234"")"),269)</f>
        <v>269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IFERROR(__xludf.DUMMYFUNCTION("IMPORTRANGE(""https://docs.google.com/spreadsheets/d/11923uPwbBZFjjGgGUA6NLw09EwE0CqkOc4q9oUmW1yo/edit?usp=sharing"",""ลำปาง!J235"")"),1463.83)</f>
        <v>1463.83</v>
      </c>
      <c r="K340" s="342">
        <f t="shared" ca="1" si="103"/>
        <v>86.107647058823531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IFERROR(__xludf.DUMMYFUNCTION("IMPORTRANGE(""https://docs.google.com/spreadsheets/d/11923uPwbBZFjjGgGUA6NLw09EwE0CqkOc4q9oUmW1yo/edit?usp=sharing"",""ลำปาง!J236"")"),357)</f>
        <v>357</v>
      </c>
      <c r="K341" s="342">
        <f t="shared" ca="1" si="103"/>
        <v>89.25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IFERROR(__xludf.DUMMYFUNCTION("IMPORTRANGE(""https://docs.google.com/spreadsheets/d/11923uPwbBZFjjGgGUA6NLw09EwE0CqkOc4q9oUmW1yo/edit?usp=sharing"",""ลำปาง!J237"")"),2181.62)</f>
        <v>2181.62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IFERROR(__xludf.DUMMYFUNCTION("IMPORTRANGE(""https://docs.google.com/spreadsheets/d/11923uPwbBZFjjGgGUA6NLw09EwE0CqkOc4q9oUmW1yo/edit?usp=sharing"",""ลำปาง!J240"")"),211)</f>
        <v>211</v>
      </c>
      <c r="K345" s="342">
        <f t="shared" ca="1" si="103"/>
        <v>52.75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IFERROR(__xludf.DUMMYFUNCTION("IMPORTRANGE(""https://docs.google.com/spreadsheets/d/11923uPwbBZFjjGgGUA6NLw09EwE0CqkOc4q9oUmW1yo/edit?usp=sharing"",""ลำปาง!J241"")"),1208.08)</f>
        <v>1208.08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IFERROR(__xludf.DUMMYFUNCTION("IMPORTRANGE(""https://docs.google.com/spreadsheets/d/11923uPwbBZFjjGgGUA6NLw09EwE0CqkOc4q9oUmW1yo/edit?usp=sharing"",""ลำปาง!L242"")"),2633435)</f>
        <v>2633435</v>
      </c>
      <c r="M347" s="357"/>
      <c r="N347" s="357">
        <f ca="1">IFERROR(__xludf.DUMMYFUNCTION("IMPORTRANGE(""https://docs.google.com/spreadsheets/d/11923uPwbBZFjjGgGUA6NLw09EwE0CqkOc4q9oUmW1yo/edit?usp=sharing"",""ลำปาง!M242"")"),940670.59)</f>
        <v>940670.59</v>
      </c>
      <c r="O347" s="357">
        <f ca="1">+IF(L347&gt;0,N347*100/L347,0)</f>
        <v>35.720288900238664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IFERROR(__xludf.DUMMYFUNCTION("IMPORTRANGE(""https://docs.google.com/spreadsheets/d/11923uPwbBZFjjGgGUA6NLw09EwE0CqkOc4q9oUmW1yo/edit?usp=sharing"",""ลำปาง!M244"")"),132276.72)</f>
        <v>132276.72</v>
      </c>
      <c r="O349" s="372">
        <f ca="1">+IF(L349&gt;0,N349*100/L349,0)</f>
        <v>57.332142857142856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IFERROR(__xludf.DUMMYFUNCTION("IMPORTRANGE(""https://docs.google.com/spreadsheets/d/11923uPwbBZFjjGgGUA6NLw09EwE0CqkOc4q9oUmW1yo/edit?usp=sharing"",""ลำปาง!M247"")"),132276.72)</f>
        <v>132276.72</v>
      </c>
      <c r="O352" s="165">
        <f t="shared" ca="1" si="105"/>
        <v>57.332142857142856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IFERROR(__xludf.DUMMYFUNCTION("IMPORTRANGE(""https://docs.google.com/spreadsheets/d/11923uPwbBZFjjGgGUA6NLw09EwE0CqkOc4q9oUmW1yo/edit?usp=sharing"",""ลำปาง!M249"")"),132276.72)</f>
        <v>132276.72</v>
      </c>
      <c r="O354" s="168">
        <f t="shared" ca="1" si="105"/>
        <v>57.332142857142856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IFERROR(__xludf.DUMMYFUNCTION("IMPORTRANGE(""https://docs.google.com/spreadsheets/d/11923uPwbBZFjjGgGUA6NLw09EwE0CqkOc4q9oUmW1yo/edit?usp=sharing"",""ลำปาง!M252"")"),63066.72)</f>
        <v>63066.720000000001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IFERROR(__xludf.DUMMYFUNCTION("IMPORTRANGE(""https://docs.google.com/spreadsheets/d/11923uPwbBZFjjGgGUA6NLw09EwE0CqkOc4q9oUmW1yo/edit?usp=sharing"",""ลำปาง!M253"")"),13010)</f>
        <v>13010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IFERROR(__xludf.DUMMYFUNCTION("IMPORTRANGE(""https://docs.google.com/spreadsheets/d/11923uPwbBZFjjGgGUA6NLw09EwE0CqkOc4q9oUmW1yo/edit?usp=sharing"",""ลำปาง!M275"")"),302948.38)</f>
        <v>302948.38</v>
      </c>
      <c r="O380" s="372">
        <f ca="1">+IF(L380&gt;0,N380*100/L380,0)</f>
        <v>29.454787461595302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IFERROR(__xludf.DUMMYFUNCTION("IMPORTRANGE(""https://docs.google.com/spreadsheets/d/11923uPwbBZFjjGgGUA6NLw09EwE0CqkOc4q9oUmW1yo/edit?usp=sharing"",""ลำปาง!M278"")"),302948.38)</f>
        <v>302948.38</v>
      </c>
      <c r="O383" s="165">
        <f t="shared" ca="1" si="109"/>
        <v>29.454787461595302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IFERROR(__xludf.DUMMYFUNCTION("IMPORTRANGE(""https://docs.google.com/spreadsheets/d/11923uPwbBZFjjGgGUA6NLw09EwE0CqkOc4q9oUmW1yo/edit?usp=sharing"",""ลำปาง!M280"")"),302948.38)</f>
        <v>302948.38</v>
      </c>
      <c r="O385" s="168">
        <f t="shared" ca="1" si="109"/>
        <v>29.454787461595302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IFERROR(__xludf.DUMMYFUNCTION("IMPORTRANGE(""https://docs.google.com/spreadsheets/d/11923uPwbBZFjjGgGUA6NLw09EwE0CqkOc4q9oUmW1yo/edit?usp=sharing"",""ลำปาง!M283"")"),63433.38)</f>
        <v>63433.38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IFERROR(__xludf.DUMMYFUNCTION("IMPORTRANGE(""https://docs.google.com/spreadsheets/d/11923uPwbBZFjjGgGUA6NLw09EwE0CqkOc4q9oUmW1yo/edit?usp=sharing"",""ลำปาง!M284"")"),41515)</f>
        <v>41515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IFERROR(__xludf.DUMMYFUNCTION("IMPORTRANGE(""https://docs.google.com/spreadsheets/d/11923uPwbBZFjjGgGUA6NLw09EwE0CqkOc4q9oUmW1yo/edit?usp=sharing"",""ลำปาง!M296"")"),51155)</f>
        <v>51155</v>
      </c>
      <c r="O401" s="372">
        <f ca="1">+IF(L401&gt;0,N401*100/L401,0)</f>
        <v>35.386690647482013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IFERROR(__xludf.DUMMYFUNCTION("IMPORTRANGE(""https://docs.google.com/spreadsheets/d/11923uPwbBZFjjGgGUA6NLw09EwE0CqkOc4q9oUmW1yo/edit?usp=sharing"",""ลำปาง!M299"")"),51155)</f>
        <v>51155</v>
      </c>
      <c r="O404" s="168">
        <f t="shared" ca="1" si="112"/>
        <v>35.386690647482013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IFERROR(__xludf.DUMMYFUNCTION("IMPORTRANGE(""https://docs.google.com/spreadsheets/d/11923uPwbBZFjjGgGUA6NLw09EwE0CqkOc4q9oUmW1yo/edit?usp=sharing"",""ลำปาง!M301"")"),51155)</f>
        <v>51155</v>
      </c>
      <c r="O406" s="168">
        <f t="shared" ca="1" si="112"/>
        <v>35.386690647482013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IFERROR(__xludf.DUMMYFUNCTION("IMPORTRANGE(""https://docs.google.com/spreadsheets/d/11923uPwbBZFjjGgGUA6NLw09EwE0CqkOc4q9oUmW1yo/edit?usp=sharing"",""ลำปาง!M302"")"),41155)</f>
        <v>41155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IFERROR(__xludf.DUMMYFUNCTION("IMPORTRANGE(""https://docs.google.com/spreadsheets/d/11923uPwbBZFjjGgGUA6NLw09EwE0CqkOc4q9oUmW1yo/edit?usp=sharing"",""ลำปาง!M305"")"),10000)</f>
        <v>10000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IFERROR(__xludf.DUMMYFUNCTION("IMPORTRANGE(""https://docs.google.com/spreadsheets/d/11923uPwbBZFjjGgGUA6NLw09EwE0CqkOc4q9oUmW1yo/edit?usp=sharing"",""ลำปาง!M330"")"),45560.39)</f>
        <v>45560.39</v>
      </c>
      <c r="O435" s="411">
        <f t="shared" ref="O435:O439" ca="1" si="114">+IF(L435&gt;0,N435*100/L435,0)</f>
        <v>42.981499999999997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IFERROR(__xludf.DUMMYFUNCTION("IMPORTRANGE(""https://docs.google.com/spreadsheets/d/11923uPwbBZFjjGgGUA6NLw09EwE0CqkOc4q9oUmW1yo/edit?usp=sharing"",""ลำปาง!M332"")"),45560.39)</f>
        <v>45560.39</v>
      </c>
      <c r="O437" s="168">
        <f t="shared" ca="1" si="114"/>
        <v>42.981499999999997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IFERROR(__xludf.DUMMYFUNCTION("IMPORTRANGE(""https://docs.google.com/spreadsheets/d/11923uPwbBZFjjGgGUA6NLw09EwE0CqkOc4q9oUmW1yo/edit?usp=sharing"",""ลำปาง!M334"")"),45560.39)</f>
        <v>45560.39</v>
      </c>
      <c r="O439" s="168">
        <f t="shared" ca="1" si="114"/>
        <v>42.981499999999997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IFERROR(__xludf.DUMMYFUNCTION("IMPORTRANGE(""https://docs.google.com/spreadsheets/d/11923uPwbBZFjjGgGUA6NLw09EwE0CqkOc4q9oUmW1yo/edit?usp=sharing"",""ลำปาง!M335"")"),32200)</f>
        <v>32200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IFERROR(__xludf.DUMMYFUNCTION("IMPORTRANGE(""https://docs.google.com/spreadsheets/d/11923uPwbBZFjjGgGUA6NLw09EwE0CqkOc4q9oUmW1yo/edit?usp=sharing"",""ลำปาง!M338"")"),13360.39)</f>
        <v>13360.39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IFERROR(__xludf.DUMMYFUNCTION("IMPORTRANGE(""https://docs.google.com/spreadsheets/d/11923uPwbBZFjjGgGUA6NLw09EwE0CqkOc4q9oUmW1yo/edit?usp=sharing"",""ลำปาง!L350"")"),616700)</f>
        <v>616700</v>
      </c>
      <c r="M455" s="372"/>
      <c r="N455" s="372">
        <f ca="1">IFERROR(__xludf.DUMMYFUNCTION("IMPORTRANGE(""https://docs.google.com/spreadsheets/d/11923uPwbBZFjjGgGUA6NLw09EwE0CqkOc4q9oUmW1yo/edit?usp=sharing"",""ลำปาง!M350"")"),222860.04)</f>
        <v>222860.04</v>
      </c>
      <c r="O455" s="372">
        <f t="shared" ref="O455:O459" ca="1" si="116">+IF(L455&gt;0,N455*100/L455,0)</f>
        <v>36.137512566888276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IFERROR(__xludf.DUMMYFUNCTION("IMPORTRANGE(""https://docs.google.com/spreadsheets/d/11923uPwbBZFjjGgGUA6NLw09EwE0CqkOc4q9oUmW1yo/edit?usp=sharing"",""ลำปาง!L352"")"),616700)</f>
        <v>616700</v>
      </c>
      <c r="M457" s="165"/>
      <c r="N457" s="168">
        <f ca="1">IFERROR(__xludf.DUMMYFUNCTION("IMPORTRANGE(""https://docs.google.com/spreadsheets/d/11923uPwbBZFjjGgGUA6NLw09EwE0CqkOc4q9oUmW1yo/edit?usp=sharing"",""ลำปาง!M352"")"),222860.04)</f>
        <v>222860.04</v>
      </c>
      <c r="O457" s="168">
        <f t="shared" ca="1" si="116"/>
        <v>36.137512566888276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IFERROR(__xludf.DUMMYFUNCTION("IMPORTRANGE(""https://docs.google.com/spreadsheets/d/11923uPwbBZFjjGgGUA6NLw09EwE0CqkOc4q9oUmW1yo/edit?usp=sharing"",""ลำปาง!L354"")"),616700)</f>
        <v>616700</v>
      </c>
      <c r="M459" s="168"/>
      <c r="N459" s="168">
        <f ca="1">IFERROR(__xludf.DUMMYFUNCTION("IMPORTRANGE(""https://docs.google.com/spreadsheets/d/11923uPwbBZFjjGgGUA6NLw09EwE0CqkOc4q9oUmW1yo/edit?usp=sharing"",""ลำปาง!M354"")"),222860.04)</f>
        <v>222860.04</v>
      </c>
      <c r="O459" s="168">
        <f t="shared" ca="1" si="116"/>
        <v>36.137512566888276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IFERROR(__xludf.DUMMYFUNCTION("IMPORTRANGE(""https://docs.google.com/spreadsheets/d/11923uPwbBZFjjGgGUA6NLw09EwE0CqkOc4q9oUmW1yo/edit?usp=sharing"",""ลำปาง!M357"")"),63800.04)</f>
        <v>63800.04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IFERROR(__xludf.DUMMYFUNCTION("IMPORTRANGE(""https://docs.google.com/spreadsheets/d/11923uPwbBZFjjGgGUA6NLw09EwE0CqkOc4q9oUmW1yo/edit?usp=sharing"",""ลำปาง!M358"")"),159060)</f>
        <v>159060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IFERROR(__xludf.DUMMYFUNCTION("IMPORTRANGE(""https://docs.google.com/spreadsheets/d/11923uPwbBZFjjGgGUA6NLw09EwE0CqkOc4q9oUmW1yo/edit?usp=sharing"",""ลำปาง!J392"")"),730)</f>
        <v>730</v>
      </c>
      <c r="K497" s="444">
        <f t="shared" ca="1" si="117"/>
        <v>25.731406415227355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IFERROR(__xludf.DUMMYFUNCTION("IMPORTRANGE(""https://docs.google.com/spreadsheets/d/11923uPwbBZFjjGgGUA6NLw09EwE0CqkOc4q9oUmW1yo/edit?usp=sharing"",""ลำปาง!J393"")"),730)</f>
        <v>730</v>
      </c>
      <c r="K498" s="201">
        <f t="shared" ca="1" si="117"/>
        <v>25.731406415227355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IFERROR(__xludf.DUMMYFUNCTION("IMPORTRANGE(""https://docs.google.com/spreadsheets/d/11923uPwbBZFjjGgGUA6NLw09EwE0CqkOc4q9oUmW1yo/edit?usp=sharing"",""ลำปาง!J394"")"),97)</f>
        <v>97</v>
      </c>
      <c r="K499" s="201">
        <f t="shared" ca="1" si="117"/>
        <v>27.478753541076486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IFERROR(__xludf.DUMMYFUNCTION("IMPORTRANGE(""https://docs.google.com/spreadsheets/d/11923uPwbBZFjjGgGUA6NLw09EwE0CqkOc4q9oUmW1yo/edit?usp=sharing"",""ลำปาง!J395"")"),730)</f>
        <v>730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IFERROR(__xludf.DUMMYFUNCTION("IMPORTRANGE(""https://docs.google.com/spreadsheets/d/11923uPwbBZFjjGgGUA6NLw09EwE0CqkOc4q9oUmW1yo/edit?usp=sharing"",""ลำปาง!J396"")"),97)</f>
        <v>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IFERROR(__xludf.DUMMYFUNCTION("IMPORTRANGE(""https://docs.google.com/spreadsheets/d/11923uPwbBZFjjGgGUA6NLw09EwE0CqkOc4q9oUmW1yo/edit?usp=sharing"",""ลำปาง!J397"")"),730)</f>
        <v>730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IFERROR(__xludf.DUMMYFUNCTION("IMPORTRANGE(""https://docs.google.com/spreadsheets/d/11923uPwbBZFjjGgGUA6NLw09EwE0CqkOc4q9oUmW1yo/edit?usp=sharing"",""ลำปาง!J398"")"),97)</f>
        <v>97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IFERROR(__xludf.DUMMYFUNCTION("IMPORTRANGE(""https://docs.google.com/spreadsheets/d/11923uPwbBZFjjGgGUA6NLw09EwE0CqkOc4q9oUmW1yo/edit?usp=sharing"",""ลำปาง!M428"")"),28715.2399999999)</f>
        <v>28715.2399999999</v>
      </c>
      <c r="O533" s="411">
        <f t="shared" ref="O533:O537" ca="1" si="118">+IF(L533&gt;0,N533*100/L533,0)</f>
        <v>83.620384391380014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IFERROR(__xludf.DUMMYFUNCTION("IMPORTRANGE(""https://docs.google.com/spreadsheets/d/11923uPwbBZFjjGgGUA6NLw09EwE0CqkOc4q9oUmW1yo/edit?usp=sharing"",""ลำปาง!M430"")"),28715.2399999999)</f>
        <v>28715.2399999999</v>
      </c>
      <c r="O535" s="168">
        <f t="shared" ca="1" si="118"/>
        <v>83.620384391380014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IFERROR(__xludf.DUMMYFUNCTION("IMPORTRANGE(""https://docs.google.com/spreadsheets/d/11923uPwbBZFjjGgGUA6NLw09EwE0CqkOc4q9oUmW1yo/edit?usp=sharing"",""ลำปาง!M432"")"),28715.2399999999)</f>
        <v>28715.2399999999</v>
      </c>
      <c r="O537" s="168">
        <f t="shared" ca="1" si="118"/>
        <v>83.620384391380014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IFERROR(__xludf.DUMMYFUNCTION("IMPORTRANGE(""https://docs.google.com/spreadsheets/d/11923uPwbBZFjjGgGUA6NLw09EwE0CqkOc4q9oUmW1yo/edit?usp=sharing"",""ลำปาง!M436"")"),9975.24)</f>
        <v>9975.24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IFERROR(__xludf.DUMMYFUNCTION("IMPORTRANGE(""https://docs.google.com/spreadsheets/d/11923uPwbBZFjjGgGUA6NLw09EwE0CqkOc4q9oUmW1yo/edit?usp=sharing"",""ลำปาง!J446"")"),2404)</f>
        <v>2404</v>
      </c>
      <c r="K551" s="410">
        <f ca="1">IF(I551&gt;0,J551*100/I551,0)</f>
        <v>80.13333333333334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IFERROR(__xludf.DUMMYFUNCTION("IMPORTRANGE(""https://docs.google.com/spreadsheets/d/11923uPwbBZFjjGgGUA6NLw09EwE0CqkOc4q9oUmW1yo/edit?usp=sharing"",""ลำปาง!M446"")"),81968.14)</f>
        <v>81968.14</v>
      </c>
      <c r="O551" s="411">
        <f t="shared" ref="O551:O555" ca="1" si="120">+IF(L551&gt;0,N551*100/L551,0)</f>
        <v>43.600074468085104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IFERROR(__xludf.DUMMYFUNCTION("IMPORTRANGE(""https://docs.google.com/spreadsheets/d/11923uPwbBZFjjGgGUA6NLw09EwE0CqkOc4q9oUmW1yo/edit?usp=sharing"",""ลำปาง!M448"")"),81968.14)</f>
        <v>81968.14</v>
      </c>
      <c r="O553" s="168">
        <f t="shared" ca="1" si="120"/>
        <v>43.600074468085104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IFERROR(__xludf.DUMMYFUNCTION("IMPORTRANGE(""https://docs.google.com/spreadsheets/d/11923uPwbBZFjjGgGUA6NLw09EwE0CqkOc4q9oUmW1yo/edit?usp=sharing"",""ลำปาง!M450"")"),81968.14)</f>
        <v>81968.14</v>
      </c>
      <c r="O555" s="168">
        <f t="shared" ca="1" si="120"/>
        <v>43.600074468085104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IFERROR(__xludf.DUMMYFUNCTION("IMPORTRANGE(""https://docs.google.com/spreadsheets/d/11923uPwbBZFjjGgGUA6NLw09EwE0CqkOc4q9oUmW1yo/edit?usp=sharing"",""ลำปาง!M453"")"),28035)</f>
        <v>28035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IFERROR(__xludf.DUMMYFUNCTION("IMPORTRANGE(""https://docs.google.com/spreadsheets/d/11923uPwbBZFjjGgGUA6NLw09EwE0CqkOc4q9oUmW1yo/edit?usp=sharing"",""ลำปาง!M454"")"),53933.14)</f>
        <v>53933.14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IFERROR(__xludf.DUMMYFUNCTION("IMPORTRANGE(""https://docs.google.com/spreadsheets/d/11923uPwbBZFjjGgGUA6NLw09EwE0CqkOc4q9oUmW1yo/edit?usp=sharing"",""ลำปาง!J455"")"),2404)</f>
        <v>2404</v>
      </c>
      <c r="K560" s="224">
        <f t="shared" ref="K560:K561" ca="1" si="121">IF(I560&gt;0,J560*100/I560,0)</f>
        <v>80.13333333333334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IFERROR(__xludf.DUMMYFUNCTION("IMPORTRANGE(""https://docs.google.com/spreadsheets/d/11923uPwbBZFjjGgGUA6NLw09EwE0CqkOc4q9oUmW1yo/edit?usp=sharing"",""ลำปาง!J456"")"),286)</f>
        <v>286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IFERROR(__xludf.DUMMYFUNCTION("IMPORTRANGE(""https://docs.google.com/spreadsheets/d/11923uPwbBZFjjGgGUA6NLw09EwE0CqkOc4q9oUmW1yo/edit?usp=sharing"",""ลำปาง!J459"")"),1904)</f>
        <v>1904</v>
      </c>
      <c r="K564" s="371">
        <f ca="1">IF(I564&gt;0,J564*100/I564,0)</f>
        <v>105.77777777777777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IFERROR(__xludf.DUMMYFUNCTION("IMPORTRANGE(""https://docs.google.com/spreadsheets/d/11923uPwbBZFjjGgGUA6NLw09EwE0CqkOc4q9oUmW1yo/edit?usp=sharing"",""ลำปาง!M459"")"),71786.68)</f>
        <v>71786.679999999993</v>
      </c>
      <c r="O564" s="372">
        <f t="shared" ref="O564:O568" ca="1" si="122">+IF(L564&gt;0,N564*100/L564,0)</f>
        <v>49.494401544401541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IFERROR(__xludf.DUMMYFUNCTION("IMPORTRANGE(""https://docs.google.com/spreadsheets/d/11923uPwbBZFjjGgGUA6NLw09EwE0CqkOc4q9oUmW1yo/edit?usp=sharing"",""ลำปาง!M461"")"),71786.68)</f>
        <v>71786.679999999993</v>
      </c>
      <c r="O566" s="168">
        <f t="shared" ca="1" si="122"/>
        <v>49.494401544401541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IFERROR(__xludf.DUMMYFUNCTION("IMPORTRANGE(""https://docs.google.com/spreadsheets/d/11923uPwbBZFjjGgGUA6NLw09EwE0CqkOc4q9oUmW1yo/edit?usp=sharing"",""ลำปาง!M463"")"),71786.68)</f>
        <v>71786.679999999993</v>
      </c>
      <c r="O568" s="168">
        <f t="shared" ca="1" si="122"/>
        <v>49.494401544401541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IFERROR(__xludf.DUMMYFUNCTION("IMPORTRANGE(""https://docs.google.com/spreadsheets/d/11923uPwbBZFjjGgGUA6NLw09EwE0CqkOc4q9oUmW1yo/edit?usp=sharing"",""ลำปาง!M466"")"),43266.68)</f>
        <v>43266.68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IFERROR(__xludf.DUMMYFUNCTION("IMPORTRANGE(""https://docs.google.com/spreadsheets/d/11923uPwbBZFjjGgGUA6NLw09EwE0CqkOc4q9oUmW1yo/edit?usp=sharing"",""ลำปาง!M467"")"),28520)</f>
        <v>28520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IFERROR(__xludf.DUMMYFUNCTION("IMPORTRANGE(""https://docs.google.com/spreadsheets/d/11923uPwbBZFjjGgGUA6NLw09EwE0CqkOc4q9oUmW1yo/edit?usp=sharing"",""ลำปาง!J468"")"),1904)</f>
        <v>1904</v>
      </c>
      <c r="K573" s="201">
        <f ca="1">IF(I573&gt;0,J573*100/I573,0)</f>
        <v>105.77777777777777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IFERROR(__xludf.DUMMYFUNCTION("IMPORTRANGE(""https://docs.google.com/spreadsheets/d/11923uPwbBZFjjGgGUA6NLw09EwE0CqkOc4q9oUmW1yo/edit?usp=sharing"",""ลำปาง!J471"")"),171)</f>
        <v>171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IFERROR(__xludf.DUMMYFUNCTION("IMPORTRANGE(""https://docs.google.com/spreadsheets/d/11923uPwbBZFjjGgGUA6NLw09EwE0CqkOc4q9oUmW1yo/edit?usp=sharing"",""ลำปาง!J472"")"),1733)</f>
        <v>1733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IFERROR(__xludf.DUMMYFUNCTION("IMPORTRANGE(""https://docs.google.com/spreadsheets/d/11923uPwbBZFjjGgGUA6NLw09EwE0CqkOc4q9oUmW1yo/edit?usp=sharing"",""ลำปาง!J475"")"),4)</f>
        <v>4</v>
      </c>
      <c r="K580" s="371">
        <f ca="1">IF(I580&gt;0,J580*100/I580,0)</f>
        <v>80</v>
      </c>
      <c r="L580" s="372">
        <f ca="1">IFERROR(__xludf.DUMMYFUNCTION("IMPORTRANGE(""https://docs.google.com/spreadsheets/d/11923uPwbBZFjjGgGUA6NLw09EwE0CqkOc4q9oUmW1yo/edit?usp=sharing"",""ลำปาง!L475"")"),130655)</f>
        <v>130655</v>
      </c>
      <c r="M580" s="372"/>
      <c r="N580" s="372">
        <f ca="1">IFERROR(__xludf.DUMMYFUNCTION("IMPORTRANGE(""https://docs.google.com/spreadsheets/d/11923uPwbBZFjjGgGUA6NLw09EwE0CqkOc4q9oUmW1yo/edit?usp=sharing"",""ลำปาง!M475"")"),0)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IFERROR(__xludf.DUMMYFUNCTION("IMPORTRANGE(""https://docs.google.com/spreadsheets/d/11923uPwbBZFjjGgGUA6NLw09EwE0CqkOc4q9oUmW1yo/edit?usp=sharing"",""ลำปาง!L477"")"),130655)</f>
        <v>130655</v>
      </c>
      <c r="M582" s="165"/>
      <c r="N582" s="168">
        <f ca="1">IFERROR(__xludf.DUMMYFUNCTION("IMPORTRANGE(""https://docs.google.com/spreadsheets/d/11923uPwbBZFjjGgGUA6NLw09EwE0CqkOc4q9oUmW1yo/edit?usp=sharing"",""ลำปาง!M477"")"),0)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IFERROR(__xludf.DUMMYFUNCTION("IMPORTRANGE(""https://docs.google.com/spreadsheets/d/11923uPwbBZFjjGgGUA6NLw09EwE0CqkOc4q9oUmW1yo/edit?usp=sharing"",""ลำปาง!L479"")"),130655)</f>
        <v>130655</v>
      </c>
      <c r="M584" s="168"/>
      <c r="N584" s="168">
        <f ca="1">IFERROR(__xludf.DUMMYFUNCTION("IMPORTRANGE(""https://docs.google.com/spreadsheets/d/11923uPwbBZFjjGgGUA6NLw09EwE0CqkOc4q9oUmW1yo/edit?usp=sharing"",""ลำปาง!M479"")"),0)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IFERROR(__xludf.DUMMYFUNCTION("IMPORTRANGE(""https://docs.google.com/spreadsheets/d/11923uPwbBZFjjGgGUA6NLw09EwE0CqkOc4q9oUmW1yo/edit?usp=sharing"",""ลำปาง!M483"")"),0)</f>
        <v>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IFERROR(__xludf.DUMMYFUNCTION("IMPORTRANGE(""https://docs.google.com/spreadsheets/d/11923uPwbBZFjjGgGUA6NLw09EwE0CqkOc4q9oUmW1yo/edit?usp=sharing"",""ลำปาง!J486"")"),4)</f>
        <v>4</v>
      </c>
      <c r="K591" s="163">
        <f t="shared" ca="1" si="125"/>
        <v>80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IFERROR(__xludf.DUMMYFUNCTION("IMPORTRANGE(""https://docs.google.com/spreadsheets/d/11923uPwbBZFjjGgGUA6NLw09EwE0CqkOc4q9oUmW1yo/edit?usp=sharing"",""ลำปาง!J487"")"),3.23)</f>
        <v>3.23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IFERROR(__xludf.DUMMYFUNCTION("IMPORTRANGE(""https://docs.google.com/spreadsheets/d/11923uPwbBZFjjGgGUA6NLw09EwE0CqkOc4q9oUmW1yo/edit?usp=sharing"",""ลำปาง!J491"")"),3.23)</f>
        <v>3.23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7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IFERROR(__xludf.DUMMYFUNCTION("IMPORTRANGE(""https://docs.google.com/spreadsheets/d/11923uPwbBZFjjGgGUA6NLw09EwE0CqkOc4q9oUmW1yo/edit?usp=sharing"",""ลำปาง!J523"")"),6400862.39)</f>
        <v>6400862.3899999997</v>
      </c>
      <c r="K628" s="342">
        <f t="shared" ref="K628:K635" ca="1" si="129">IF(I628&gt;0,J628*100/I628,0)</f>
        <v>79.606990036001548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IFERROR(__xludf.DUMMYFUNCTION("IMPORTRANGE(""https://docs.google.com/spreadsheets/d/11923uPwbBZFjjGgGUA6NLw09EwE0CqkOc4q9oUmW1yo/edit?usp=sharing"",""ลำปาง!J524"")"),251)</f>
        <v>251</v>
      </c>
      <c r="K629" s="342">
        <f t="shared" ca="1" si="129"/>
        <v>78.930817610062888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IFERROR(__xludf.DUMMYFUNCTION("IMPORTRANGE(""https://docs.google.com/spreadsheets/d/11923uPwbBZFjjGgGUA6NLw09EwE0CqkOc4q9oUmW1yo/edit?usp=sharing"",""ลำปาง!J525"")"),2681.42)</f>
        <v>2681.42</v>
      </c>
      <c r="K630" s="342">
        <f t="shared" ca="1" si="129"/>
        <v>15.490073406017249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IFERROR(__xludf.DUMMYFUNCTION("IMPORTRANGE(""https://docs.google.com/spreadsheets/d/11923uPwbBZFjjGgGUA6NLw09EwE0CqkOc4q9oUmW1yo/edit?usp=sharing"",""ลำปาง!J529"")"),6195000)</f>
        <v>6195000</v>
      </c>
      <c r="K634" s="342">
        <f t="shared" ca="1" si="129"/>
        <v>92.948237059264812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IFERROR(__xludf.DUMMYFUNCTION("IMPORTRANGE(""https://docs.google.com/spreadsheets/d/11923uPwbBZFjjGgGUA6NLw09EwE0CqkOc4q9oUmW1yo/edit?usp=sharing"",""ลำปาง!I530"")"),173)</f>
        <v>173</v>
      </c>
      <c r="J635" s="504">
        <f ca="1">IFERROR(__xludf.DUMMYFUNCTION("IMPORTRANGE(""https://docs.google.com/spreadsheets/d/11923uPwbBZFjjGgGUA6NLw09EwE0CqkOc4q9oUmW1yo/edit?usp=sharing"",""ลำปาง!J530"")"),173)</f>
        <v>173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IFERROR(__xludf.DUMMYFUNCTION("IMPORTRANGE(""https://docs.google.com/spreadsheets/d/11923uPwbBZFjjGgGUA6NLw09EwE0CqkOc4q9oUmW1yo/edit?usp=sharing"",""ลำปาง!J541"")"),0)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IFERROR(__xludf.DUMMYFUNCTION("IMPORTRANGE(""https://docs.google.com/spreadsheets/d/11923uPwbBZFjjGgGUA6NLw09EwE0CqkOc4q9oUmW1yo/edit?usp=sharing"",""ลำปาง!J542"")"),0)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IFERROR(__xludf.DUMMYFUNCTION("IMPORTRANGE(""https://docs.google.com/spreadsheets/d/11923uPwbBZFjjGgGUA6NLw09EwE0CqkOc4q9oUmW1yo/edit?usp=sharing"",""ลำปาง!I543"")"),0)</f>
        <v>0</v>
      </c>
      <c r="J648" s="535">
        <f ca="1">IFERROR(__xludf.DUMMYFUNCTION("IMPORTRANGE(""https://docs.google.com/spreadsheets/d/11923uPwbBZFjjGgGUA6NLw09EwE0CqkOc4q9oUmW1yo/edit?usp=sharing"",""ลำปาง!J543"")"),0)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IFERROR(__xludf.DUMMYFUNCTION("IMPORTRANGE(""https://docs.google.com/spreadsheets/d/11923uPwbBZFjjGgGUA6NLw09EwE0CqkOc4q9oUmW1yo/edit?usp=sharing"",""ลำปาง!L543"")"),0)</f>
        <v>0</v>
      </c>
      <c r="M648" s="520"/>
      <c r="N648" s="537">
        <f ca="1">IFERROR(__xludf.DUMMYFUNCTION("IMPORTRANGE(""https://docs.google.com/spreadsheets/d/11923uPwbBZFjjGgGUA6NLw09EwE0CqkOc4q9oUmW1yo/edit?usp=sharing"",""ลำปาง!M543"")"),0)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IFERROR(__xludf.DUMMYFUNCTION("IMPORTRANGE(""https://docs.google.com/spreadsheets/d/11923uPwbBZFjjGgGUA6NLw09EwE0CqkOc4q9oUmW1yo/edit?usp=sharing"",""ลำปาง!I544"")"),0)</f>
        <v>0</v>
      </c>
      <c r="J649" s="535">
        <f ca="1">IFERROR(__xludf.DUMMYFUNCTION("IMPORTRANGE(""https://docs.google.com/spreadsheets/d/11923uPwbBZFjjGgGUA6NLw09EwE0CqkOc4q9oUmW1yo/edit?usp=sharing"",""ลำปาง!J544"")"),0)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IFERROR(__xludf.DUMMYFUNCTION("IMPORTRANGE(""https://docs.google.com/spreadsheets/d/11923uPwbBZFjjGgGUA6NLw09EwE0CqkOc4q9oUmW1yo/edit?usp=sharing"",""ลำปาง!L544"")"),0)</f>
        <v>0</v>
      </c>
      <c r="M649" s="520"/>
      <c r="N649" s="537">
        <f ca="1">IFERROR(__xludf.DUMMYFUNCTION("IMPORTRANGE(""https://docs.google.com/spreadsheets/d/11923uPwbBZFjjGgGUA6NLw09EwE0CqkOc4q9oUmW1yo/edit?usp=sharing"",""ลำปาง!M544"")"),0)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IFERROR(__xludf.DUMMYFUNCTION("IMPORTRANGE(""https://docs.google.com/spreadsheets/d/11923uPwbBZFjjGgGUA6NLw09EwE0CqkOc4q9oUmW1yo/edit?usp=sharing"",""ลำปาง!I545"")"),0)</f>
        <v>0</v>
      </c>
      <c r="J650" s="535">
        <f ca="1">IFERROR(__xludf.DUMMYFUNCTION("IMPORTRANGE(""https://docs.google.com/spreadsheets/d/11923uPwbBZFjjGgGUA6NLw09EwE0CqkOc4q9oUmW1yo/edit?usp=sharing"",""ลำปาง!J545"")"),0)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IFERROR(__xludf.DUMMYFUNCTION("IMPORTRANGE(""https://docs.google.com/spreadsheets/d/11923uPwbBZFjjGgGUA6NLw09EwE0CqkOc4q9oUmW1yo/edit?usp=sharing"",""ลำปาง!L545"")"),0)</f>
        <v>0</v>
      </c>
      <c r="M650" s="520"/>
      <c r="N650" s="537">
        <f ca="1">IFERROR(__xludf.DUMMYFUNCTION("IMPORTRANGE(""https://docs.google.com/spreadsheets/d/11923uPwbBZFjjGgGUA6NLw09EwE0CqkOc4q9oUmW1yo/edit?usp=sharing"",""ลำปาง!M545"")"),0)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IFERROR(__xludf.DUMMYFUNCTION("IMPORTRANGE(""https://docs.google.com/spreadsheets/d/11923uPwbBZFjjGgGUA6NLw09EwE0CqkOc4q9oUmW1yo/edit?usp=sharing"",""ลำปาง!I546"")"),0)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IFERROR(__xludf.DUMMYFUNCTION("IMPORTRANGE(""https://docs.google.com/spreadsheets/d/11923uPwbBZFjjGgGUA6NLw09EwE0CqkOc4q9oUmW1yo/edit?usp=sharing"",""ลำปาง!L546"")"),0)</f>
        <v>0</v>
      </c>
      <c r="M651" s="520"/>
      <c r="N651" s="537">
        <f ca="1">IFERROR(__xludf.DUMMYFUNCTION("IMPORTRANGE(""https://docs.google.com/spreadsheets/d/11923uPwbBZFjjGgGUA6NLw09EwE0CqkOc4q9oUmW1yo/edit?usp=sharing"",""ลำปาง!M546"")"),0)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IFERROR(__xludf.DUMMYFUNCTION("IMPORTRANGE(""https://docs.google.com/spreadsheets/d/11923uPwbBZFjjGgGUA6NLw09EwE0CqkOc4q9oUmW1yo/edit?usp=sharing"",""ลำปาง!J547"")"),0)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IFERROR(__xludf.DUMMYFUNCTION("IMPORTRANGE(""https://docs.google.com/spreadsheets/d/11923uPwbBZFjjGgGUA6NLw09EwE0CqkOc4q9oUmW1yo/edit?usp=sharing"",""ลำปาง!J548"")"),0)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IFERROR(__xludf.DUMMYFUNCTION("IMPORTRANGE(""https://docs.google.com/spreadsheets/d/11923uPwbBZFjjGgGUA6NLw09EwE0CqkOc4q9oUmW1yo/edit?usp=sharing"",""ลำปาง!J550"")"),0)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IFERROR(__xludf.DUMMYFUNCTION("IMPORTRANGE(""https://docs.google.com/spreadsheets/d/11923uPwbBZFjjGgGUA6NLw09EwE0CqkOc4q9oUmW1yo/edit?usp=sharing"",""ลำปาง!J551"")"),0)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IFERROR(__xludf.DUMMYFUNCTION("IMPORTRANGE(""https://docs.google.com/spreadsheets/d/11923uPwbBZFjjGgGUA6NLw09EwE0CqkOc4q9oUmW1yo/edit?usp=sharing"",""ลำปาง!J552"")"),0)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IFERROR(__xludf.DUMMYFUNCTION("IMPORTRANGE(""https://docs.google.com/spreadsheets/d/11923uPwbBZFjjGgGUA6NLw09EwE0CqkOc4q9oUmW1yo/edit?usp=sharing"",""ลำปาง!J553"")"),0)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IFERROR(__xludf.DUMMYFUNCTION("IMPORTRANGE(""https://docs.google.com/spreadsheets/d/11923uPwbBZFjjGgGUA6NLw09EwE0CqkOc4q9oUmW1yo/edit?usp=sharing"",""ลำปาง!J554"")"),0)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IFERROR(__xludf.DUMMYFUNCTION("IMPORTRANGE(""https://docs.google.com/spreadsheets/d/11923uPwbBZFjjGgGUA6NLw09EwE0CqkOc4q9oUmW1yo/edit?usp=sharing"",""ลำปาง!J555"")"),0)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IFERROR(__xludf.DUMMYFUNCTION("IMPORTRANGE(""https://docs.google.com/spreadsheets/d/11923uPwbBZFjjGgGUA6NLw09EwE0CqkOc4q9oUmW1yo/edit?usp=sharing"",""ลำปาง!J556"")"),0)</f>
        <v>0</v>
      </c>
      <c r="K661" s="536"/>
      <c r="L661" s="521">
        <f ca="1">IFERROR(__xludf.DUMMYFUNCTION("IMPORTRANGE(""https://docs.google.com/spreadsheets/d/11923uPwbBZFjjGgGUA6NLw09EwE0CqkOc4q9oUmW1yo/edit?usp=sharing"",""ลำปาง!L556"")"),0)</f>
        <v>0</v>
      </c>
      <c r="M661" s="520"/>
      <c r="N661" s="537">
        <f ca="1">IFERROR(__xludf.DUMMYFUNCTION("IMPORTRANGE(""https://docs.google.com/spreadsheets/d/11923uPwbBZFjjGgGUA6NLw09EwE0CqkOc4q9oUmW1yo/edit?usp=sharing"",""ลำปาง!M556"")"),0)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IFERROR(__xludf.DUMMYFUNCTION("IMPORTRANGE(""https://docs.google.com/spreadsheets/d/11923uPwbBZFjjGgGUA6NLw09EwE0CqkOc4q9oUmW1yo/edit?usp=sharing"",""ลำปาง!J557"")"),0)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IFERROR(__xludf.DUMMYFUNCTION("IMPORTRANGE(""https://docs.google.com/spreadsheets/d/11923uPwbBZFjjGgGUA6NLw09EwE0CqkOc4q9oUmW1yo/edit?usp=sharing"",""ลำปาง!I558"")"),0)</f>
        <v>0</v>
      </c>
      <c r="J663" s="535">
        <f ca="1">IFERROR(__xludf.DUMMYFUNCTION("IMPORTRANGE(""https://docs.google.com/spreadsheets/d/11923uPwbBZFjjGgGUA6NLw09EwE0CqkOc4q9oUmW1yo/edit?usp=sharing"",""ลำปาง!J558"")"),0)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IFERROR(__xludf.DUMMYFUNCTION("IMPORTRANGE(""https://docs.google.com/spreadsheets/d/11923uPwbBZFjjGgGUA6NLw09EwE0CqkOc4q9oUmW1yo/edit?usp=sharing"",""ลำปาง!I560"")"),0)</f>
        <v>0</v>
      </c>
      <c r="J665" s="535">
        <f ca="1">IFERROR(__xludf.DUMMYFUNCTION("IMPORTRANGE(""https://docs.google.com/spreadsheets/d/11923uPwbBZFjjGgGUA6NLw09EwE0CqkOc4q9oUmW1yo/edit?usp=sharing"",""ลำปาง!J560"")"),0)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IFERROR(__xludf.DUMMYFUNCTION("IMPORTRANGE(""https://docs.google.com/spreadsheets/d/11923uPwbBZFjjGgGUA6NLw09EwE0CqkOc4q9oUmW1yo/edit?usp=sharing"",""ลำปาง!L560"")"),0)</f>
        <v>0</v>
      </c>
      <c r="M665" s="520"/>
      <c r="N665" s="537">
        <f ca="1">IFERROR(__xludf.DUMMYFUNCTION("IMPORTRANGE(""https://docs.google.com/spreadsheets/d/11923uPwbBZFjjGgGUA6NLw09EwE0CqkOc4q9oUmW1yo/edit?usp=sharing"",""ลำปาง!M560"")"),0)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IFERROR(__xludf.DUMMYFUNCTION("IMPORTRANGE(""https://docs.google.com/spreadsheets/d/11923uPwbBZFjjGgGUA6NLw09EwE0CqkOc4q9oUmW1yo/edit?usp=sharing"",""ลำปาง!J561"")"),0)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IFERROR(__xludf.DUMMYFUNCTION("IMPORTRANGE(""https://docs.google.com/spreadsheets/d/11923uPwbBZFjjGgGUA6NLw09EwE0CqkOc4q9oUmW1yo/edit?usp=sharing"",""ลำปาง!J562"")"),0)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IFERROR(__xludf.DUMMYFUNCTION("IMPORTRANGE(""https://docs.google.com/spreadsheets/d/11923uPwbBZFjjGgGUA6NLw09EwE0CqkOc4q9oUmW1yo/edit?usp=sharing"",""ลำปาง!I563"")"),0)</f>
        <v>0</v>
      </c>
      <c r="J668" s="535">
        <f ca="1">IFERROR(__xludf.DUMMYFUNCTION("IMPORTRANGE(""https://docs.google.com/spreadsheets/d/11923uPwbBZFjjGgGUA6NLw09EwE0CqkOc4q9oUmW1yo/edit?usp=sharing"",""ลำปาง!J563"")"),0)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IFERROR(__xludf.DUMMYFUNCTION("IMPORTRANGE(""https://docs.google.com/spreadsheets/d/11923uPwbBZFjjGgGUA6NLw09EwE0CqkOc4q9oUmW1yo/edit?usp=sharing"",""ลำปาง!L563"")"),0)</f>
        <v>0</v>
      </c>
      <c r="M668" s="520"/>
      <c r="N668" s="537">
        <f ca="1">IFERROR(__xludf.DUMMYFUNCTION("IMPORTRANGE(""https://docs.google.com/spreadsheets/d/11923uPwbBZFjjGgGUA6NLw09EwE0CqkOc4q9oUmW1yo/edit?usp=sharing"",""ลำปาง!M563"")"),0)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IFERROR(__xludf.DUMMYFUNCTION("IMPORTRANGE(""https://docs.google.com/spreadsheets/d/11923uPwbBZFjjGgGUA6NLw09EwE0CqkOc4q9oUmW1yo/edit?usp=sharing"",""ลำปาง!J564"")"),0)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IFERROR(__xludf.DUMMYFUNCTION("IMPORTRANGE(""https://docs.google.com/spreadsheets/d/11923uPwbBZFjjGgGUA6NLw09EwE0CqkOc4q9oUmW1yo/edit?usp=sharing"",""ลำปาง!J565"")"),0)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IFERROR(__xludf.DUMMYFUNCTION("IMPORTRANGE(""https://docs.google.com/spreadsheets/d/11923uPwbBZFjjGgGUA6NLw09EwE0CqkOc4q9oUmW1yo/edit?usp=sharing"",""ลำปาง!I566"")"),0)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IFERROR(__xludf.DUMMYFUNCTION("IMPORTRANGE(""https://docs.google.com/spreadsheets/d/11923uPwbBZFjjGgGUA6NLw09EwE0CqkOc4q9oUmW1yo/edit?usp=sharing"",""ลำปาง!L566"")"),0)</f>
        <v>0</v>
      </c>
      <c r="M671" s="520"/>
      <c r="N671" s="537">
        <f ca="1">IFERROR(__xludf.DUMMYFUNCTION("IMPORTRANGE(""https://docs.google.com/spreadsheets/d/11923uPwbBZFjjGgGUA6NLw09EwE0CqkOc4q9oUmW1yo/edit?usp=sharing"",""ลำปาง!M566"")"),0)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IFERROR(__xludf.DUMMYFUNCTION("IMPORTRANGE(""https://docs.google.com/spreadsheets/d/11923uPwbBZFjjGgGUA6NLw09EwE0CqkOc4q9oUmW1yo/edit?usp=sharing"",""ลำปาง!J567"")"),0)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IFERROR(__xludf.DUMMYFUNCTION("IMPORTRANGE(""https://docs.google.com/spreadsheets/d/11923uPwbBZFjjGgGUA6NLw09EwE0CqkOc4q9oUmW1yo/edit?usp=sharing"",""ลำปาง!J568"")"),0)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IFERROR(__xludf.DUMMYFUNCTION("IMPORTRANGE(""https://docs.google.com/spreadsheets/d/11923uPwbBZFjjGgGUA6NLw09EwE0CqkOc4q9oUmW1yo/edit?usp=sharing"",""ลำปาง!J569"")"),0)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IFERROR(__xludf.DUMMYFUNCTION("IMPORTRANGE(""https://docs.google.com/spreadsheets/d/11923uPwbBZFjjGgGUA6NLw09EwE0CqkOc4q9oUmW1yo/edit?usp=sharing"",""ลำปาง!J570"")"),0)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IFERROR(__xludf.DUMMYFUNCTION("IMPORTRANGE(""https://docs.google.com/spreadsheets/d/11923uPwbBZFjjGgGUA6NLw09EwE0CqkOc4q9oUmW1yo/edit?usp=sharing"",""ลำปาง!J571"")"),0)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IFERROR(__xludf.DUMMYFUNCTION("IMPORTRANGE(""https://docs.google.com/spreadsheets/d/11923uPwbBZFjjGgGUA6NLw09EwE0CqkOc4q9oUmW1yo/edit?usp=sharing"",""ลำปาง!J572"")"),0)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286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6619755</v>
      </c>
      <c r="M8" s="23">
        <f t="shared" ca="1" si="0"/>
        <v>3421770</v>
      </c>
      <c r="N8" s="23">
        <f t="shared" ca="1" si="0"/>
        <v>3808842.51</v>
      </c>
      <c r="O8" s="22">
        <f t="shared" ref="O8:O16" ca="1" si="1">IF(L8&gt;0,N8*100/L8,0)</f>
        <v>57.537514756966083</v>
      </c>
      <c r="P8" s="22">
        <f t="shared" ref="P8:P16" ca="1" si="2">IF(M8&gt;0,N8*100/M8,0)</f>
        <v>111.31205516443244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6619755</v>
      </c>
      <c r="M10" s="30">
        <f t="shared" ca="1" si="4"/>
        <v>3421770</v>
      </c>
      <c r="N10" s="30">
        <f t="shared" ca="1" si="4"/>
        <v>3808842.51</v>
      </c>
      <c r="O10" s="29">
        <f t="shared" ca="1" si="1"/>
        <v>57.537514756966083</v>
      </c>
      <c r="P10" s="29">
        <f t="shared" ca="1" si="2"/>
        <v>111.31205516443244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6370355</v>
      </c>
      <c r="M12" s="39">
        <f t="shared" ca="1" si="6"/>
        <v>3172370</v>
      </c>
      <c r="N12" s="39">
        <f t="shared" ca="1" si="6"/>
        <v>3559442.51</v>
      </c>
      <c r="O12" s="39">
        <f t="shared" ca="1" si="1"/>
        <v>55.875104448653175</v>
      </c>
      <c r="P12" s="39">
        <f t="shared" ca="1" si="2"/>
        <v>112.20136711669824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4136655</v>
      </c>
      <c r="M14" s="39">
        <f t="shared" si="8"/>
        <v>0</v>
      </c>
      <c r="N14" s="39">
        <f t="shared" ca="1" si="8"/>
        <v>966620</v>
      </c>
      <c r="O14" s="39">
        <f t="shared" ca="1" si="1"/>
        <v>23.367189190299893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4207545</v>
      </c>
      <c r="M18" s="23">
        <f t="shared" ca="1" si="11"/>
        <v>3421770</v>
      </c>
      <c r="N18" s="23">
        <f t="shared" ca="1" si="11"/>
        <v>2842222.51</v>
      </c>
      <c r="O18" s="22">
        <f t="shared" ref="O18:O20" ca="1" si="12">IF(L18&gt;0,N18*100/L18,0)</f>
        <v>67.550614669599497</v>
      </c>
      <c r="P18" s="22">
        <f t="shared" ref="P18:P26" ca="1" si="13">IF(M18&gt;0,N18*100/M18,0)</f>
        <v>83.062932634279917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4207545</v>
      </c>
      <c r="M20" s="30">
        <f t="shared" ca="1" si="15"/>
        <v>3421770</v>
      </c>
      <c r="N20" s="30">
        <f t="shared" ca="1" si="15"/>
        <v>2842222.51</v>
      </c>
      <c r="O20" s="29">
        <f t="shared" ca="1" si="12"/>
        <v>67.550614669599497</v>
      </c>
      <c r="P20" s="29">
        <f t="shared" ca="1" si="13"/>
        <v>83.062932634279917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3958145</v>
      </c>
      <c r="M22" s="42">
        <f t="shared" ca="1" si="18"/>
        <v>3172370</v>
      </c>
      <c r="N22" s="39">
        <f t="shared" ca="1" si="18"/>
        <v>2592822.5099999998</v>
      </c>
      <c r="O22" s="39">
        <f t="shared" ca="1" si="17"/>
        <v>65.506001169739861</v>
      </c>
      <c r="P22" s="39">
        <f t="shared" ca="1" si="13"/>
        <v>81.731403020454735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1724445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2412210</v>
      </c>
      <c r="M28" s="23">
        <f t="shared" si="23"/>
        <v>0</v>
      </c>
      <c r="N28" s="23">
        <f t="shared" ca="1" si="23"/>
        <v>966620</v>
      </c>
      <c r="O28" s="22">
        <f t="shared" ref="O28:O30" ca="1" si="24">IF(L28&gt;0,N28*100/L28,0)</f>
        <v>40.071967200202302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2412210</v>
      </c>
      <c r="M30" s="30">
        <f t="shared" si="27"/>
        <v>0</v>
      </c>
      <c r="N30" s="30">
        <f t="shared" ca="1" si="27"/>
        <v>966620</v>
      </c>
      <c r="O30" s="29">
        <f t="shared" ca="1" si="24"/>
        <v>40.071967200202302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2412210</v>
      </c>
      <c r="M32" s="39">
        <f t="shared" si="30"/>
        <v>0</v>
      </c>
      <c r="N32" s="39">
        <f t="shared" ca="1" si="30"/>
        <v>966620</v>
      </c>
      <c r="O32" s="39">
        <f t="shared" ca="1" si="29"/>
        <v>40.071967200202302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2412210</v>
      </c>
      <c r="M34" s="39">
        <f t="shared" si="32"/>
        <v>0</v>
      </c>
      <c r="N34" s="39">
        <f t="shared" ca="1" si="32"/>
        <v>966620</v>
      </c>
      <c r="O34" s="39">
        <f t="shared" ca="1" si="29"/>
        <v>40.071967200202302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4207545</v>
      </c>
      <c r="M37" s="55">
        <f t="shared" ca="1" si="33"/>
        <v>3421770</v>
      </c>
      <c r="N37" s="55">
        <f t="shared" ca="1" si="33"/>
        <v>2842222.51</v>
      </c>
      <c r="O37" s="56">
        <f t="shared" ca="1" si="29"/>
        <v>67.550614669599497</v>
      </c>
      <c r="P37" s="56">
        <f t="shared" ca="1" si="25"/>
        <v>83.062932634279917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569000</v>
      </c>
      <c r="N41" s="79">
        <f t="shared" ca="1" si="34"/>
        <v>523692.5</v>
      </c>
      <c r="O41" s="78">
        <f t="shared" ref="O41:O43" ca="1" si="35">IF(L41&gt;0,N41*100/L41,0)</f>
        <v>69.024976934229599</v>
      </c>
      <c r="P41" s="78">
        <f t="shared" ref="P41:P43" ca="1" si="36">IF(M41&gt;0,N41*100/M41,0)</f>
        <v>92.037346221441126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569000</v>
      </c>
      <c r="N43" s="79">
        <f t="shared" ca="1" si="38"/>
        <v>523692.5</v>
      </c>
      <c r="O43" s="78">
        <f t="shared" ca="1" si="35"/>
        <v>69.024976934229599</v>
      </c>
      <c r="P43" s="78">
        <f t="shared" ca="1" si="36"/>
        <v>92.037346221441126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IFERROR(__xludf.DUMMYFUNCTION("IMPORTRANGE(""https://docs.google.com/spreadsheets/d/1Yj_ptqi66GCucihVvJfMjLAmec39IyEx_6qawtMGysU/edit?usp=sharing"",""สบก!Q33"")"),569000)</f>
        <v>569000</v>
      </c>
      <c r="N45" s="50">
        <f ca="1">IFERROR(__xludf.DUMMYFUNCTION("IMPORTRANGE(""https://docs.google.com/spreadsheets/d/1Yj_ptqi66GCucihVvJfMjLAmec39IyEx_6qawtMGysU/edit?usp=sharing"",""สบก!R33"")"),523692.5)</f>
        <v>523692.5</v>
      </c>
      <c r="O45" s="39">
        <f ca="1">IF(L45&gt;0,N45*100/L45,0)</f>
        <v>69.024976934229599</v>
      </c>
      <c r="P45" s="39">
        <f ca="1">IF(M45&gt;0,N45*100/M45,0)</f>
        <v>92.037346221441126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486050</v>
      </c>
      <c r="N53" s="121">
        <f t="shared" ca="1" si="39"/>
        <v>398331.25</v>
      </c>
      <c r="O53" s="120">
        <f t="shared" ref="O53:O55" ca="1" si="40">IF(L53&gt;0,N53*100/L53,0)</f>
        <v>66.388541666666669</v>
      </c>
      <c r="P53" s="120">
        <f t="shared" ref="P53:P55" ca="1" si="41">IF(M53&gt;0,N53*100/M53,0)</f>
        <v>81.952731200493773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486050</v>
      </c>
      <c r="N55" s="121">
        <f t="shared" ca="1" si="43"/>
        <v>398331.25</v>
      </c>
      <c r="O55" s="120">
        <f t="shared" ca="1" si="40"/>
        <v>66.388541666666669</v>
      </c>
      <c r="P55" s="120">
        <f t="shared" ca="1" si="41"/>
        <v>81.952731200493773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IFERROR(__xludf.DUMMYFUNCTION("IMPORTRANGE(""https://docs.google.com/spreadsheets/d/1Yj_ptqi66GCucihVvJfMjLAmec39IyEx_6qawtMGysU/edit?usp=sharing"",""สบก!Z33"")"),486050)</f>
        <v>486050</v>
      </c>
      <c r="N57" s="50">
        <f ca="1">IFERROR(__xludf.DUMMYFUNCTION("IMPORTRANGE(""https://docs.google.com/spreadsheets/d/1Yj_ptqi66GCucihVvJfMjLAmec39IyEx_6qawtMGysU/edit?usp=sharing"",""สบก!AA33"")"),398331.25)</f>
        <v>398331.25</v>
      </c>
      <c r="O57" s="39">
        <f ca="1">IF(L57&gt;0,N57*100/L57,0)</f>
        <v>66.388541666666669</v>
      </c>
      <c r="P57" s="39">
        <f ca="1">IF(M57&gt;0,N57*100/M57,0)</f>
        <v>81.952731200493773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480720</v>
      </c>
      <c r="N66" s="152">
        <f t="shared" ca="1" si="45"/>
        <v>458053</v>
      </c>
      <c r="O66" s="151">
        <f t="shared" ref="O66:O68" ca="1" si="46">IF(L66&gt;0,N66*100/L66,0)</f>
        <v>77.452316537030768</v>
      </c>
      <c r="P66" s="151">
        <f t="shared" ref="P66:P68" ca="1" si="47">IF(M66&gt;0,N66*100/M66,0)</f>
        <v>95.284781161590942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480720</v>
      </c>
      <c r="N68" s="88">
        <f t="shared" ca="1" si="49"/>
        <v>458053</v>
      </c>
      <c r="O68" s="156">
        <f t="shared" ca="1" si="46"/>
        <v>77.452316537030768</v>
      </c>
      <c r="P68" s="156">
        <f t="shared" ca="1" si="47"/>
        <v>95.284781161590942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IFERROR(__xludf.DUMMYFUNCTION("IMPORTRANGE(""https://docs.google.com/spreadsheets/d/1Yj_ptqi66GCucihVvJfMjLAmec39IyEx_6qawtMGysU/edit?usp=sharing"",""สบก!AI33"")"),480720)</f>
        <v>480720</v>
      </c>
      <c r="N70" s="168">
        <f ca="1">IFERROR(__xludf.DUMMYFUNCTION("IMPORTRANGE(""https://docs.google.com/spreadsheets/d/1Yj_ptqi66GCucihVvJfMjLAmec39IyEx_6qawtMGysU/edit?usp=sharing"",""สบก!AJ33"")"),458053)</f>
        <v>458053</v>
      </c>
      <c r="O70" s="168">
        <f ca="1">IF(L70&gt;0,N70*100/L70,0)</f>
        <v>77.452316537030768</v>
      </c>
      <c r="P70" s="168">
        <f ca="1">IF(M70&gt;0,N70*100/M70,0)</f>
        <v>95.284781161590942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57380</v>
      </c>
      <c r="O118" s="151">
        <f t="shared" ref="O118:O120" ca="1" si="59">IF(L118&gt;0,N118*100/L118,0)</f>
        <v>69.602134885977677</v>
      </c>
      <c r="P118" s="151">
        <f t="shared" ref="P118:P120" ca="1" si="60">IF(M118&gt;0,N118*100/M118,0)</f>
        <v>69.602134885977677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57380</v>
      </c>
      <c r="O120" s="156">
        <f t="shared" ca="1" si="59"/>
        <v>69.602134885977677</v>
      </c>
      <c r="P120" s="156">
        <f t="shared" ca="1" si="60"/>
        <v>69.602134885977677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IFERROR(__xludf.DUMMYFUNCTION("IMPORTRANGE(""https://docs.google.com/spreadsheets/d/1Yj_ptqi66GCucihVvJfMjLAmec39IyEx_6qawtMGysU/edit?usp=sharing"",""สบก!BB33"")"),57380)</f>
        <v>57380</v>
      </c>
      <c r="O122" s="168">
        <f ca="1">IF(L122&gt;0,N122*100/L122,0)</f>
        <v>69.602134885977677</v>
      </c>
      <c r="P122" s="168">
        <f ca="1">IF(M122&gt;0,N122*100/M122,0)</f>
        <v>69.602134885977677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1352900</v>
      </c>
      <c r="M140" s="152">
        <f t="shared" ca="1" si="64"/>
        <v>1177025</v>
      </c>
      <c r="N140" s="152">
        <f t="shared" ca="1" si="64"/>
        <v>932110.76</v>
      </c>
      <c r="O140" s="151">
        <f t="shared" ref="O140:O142" ca="1" si="65">IF(L140&gt;0,N140*100/L140,0)</f>
        <v>68.897240002956607</v>
      </c>
      <c r="P140" s="151">
        <f t="shared" ref="P140:P142" ca="1" si="66">IF(M140&gt;0,N140*100/M140,0)</f>
        <v>79.192095325078057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1352900</v>
      </c>
      <c r="M142" s="88">
        <f t="shared" ca="1" si="68"/>
        <v>1177025</v>
      </c>
      <c r="N142" s="88">
        <f t="shared" ca="1" si="68"/>
        <v>932110.76</v>
      </c>
      <c r="O142" s="156">
        <f t="shared" ca="1" si="65"/>
        <v>68.897240002956607</v>
      </c>
      <c r="P142" s="156">
        <f t="shared" ca="1" si="66"/>
        <v>79.192095325078057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IFERROR(__xludf.DUMMYFUNCTION("IMPORTRANGE(""https://docs.google.com/spreadsheets/d/1Yj_ptqi66GCucihVvJfMjLAmec39IyEx_6qawtMGysU/edit?usp=sharing"",""สบก!BJ33"")"),939025)</f>
        <v>939025</v>
      </c>
      <c r="N144" s="168">
        <f ca="1">IFERROR(__xludf.DUMMYFUNCTION("IMPORTRANGE(""https://docs.google.com/spreadsheets/d/1Yj_ptqi66GCucihVvJfMjLAmec39IyEx_6qawtMGysU/edit?usp=sharing"",""สบก!BK33"")"),694110.76)</f>
        <v>694110.76</v>
      </c>
      <c r="O144" s="168">
        <f ca="1">IF(L144&gt;0,N144*100/L144,0)</f>
        <v>62.257669746165575</v>
      </c>
      <c r="P144" s="168">
        <f ca="1">IF(M144&gt;0,N144*100/M144,0)</f>
        <v>73.918240728415114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IFERROR(__xludf.DUMMYFUNCTION("IMPORTRANGE(""https://docs.google.com/spreadsheets/d/11923uPwbBZFjjGgGUA6NLw09EwE0CqkOc4q9oUmW1yo/edit?usp=sharing"",""ลำพูน!J84"")"),151)</f>
        <v>151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IFERROR(__xludf.DUMMYFUNCTION("IMPORTRANGE(""https://docs.google.com/spreadsheets/d/11923uPwbBZFjjGgGUA6NLw09EwE0CqkOc4q9oUmW1yo/edit?usp=sharing"",""ลำพูน!J85"")"),151)</f>
        <v>151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28115</v>
      </c>
      <c r="O271" s="151">
        <f t="shared" ref="O271:O273" ca="1" si="84">IF(L271&gt;0,N271*100/L271,0)</f>
        <v>50.93297101449275</v>
      </c>
      <c r="P271" s="151">
        <f t="shared" ref="P271:P273" ca="1" si="85">IF(M271&gt;0,N271*100/M271,0)</f>
        <v>87.178294573643413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28115</v>
      </c>
      <c r="O273" s="156">
        <f t="shared" ca="1" si="84"/>
        <v>50.93297101449275</v>
      </c>
      <c r="P273" s="156">
        <f t="shared" ca="1" si="85"/>
        <v>87.178294573643413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IFERROR(__xludf.DUMMYFUNCTION("IMPORTRANGE(""https://docs.google.com/spreadsheets/d/1Yj_ptqi66GCucihVvJfMjLAmec39IyEx_6qawtMGysU/edit?usp=sharing"",""สบก!CK33"")"),32250)</f>
        <v>32250</v>
      </c>
      <c r="N275" s="168">
        <f ca="1">IFERROR(__xludf.DUMMYFUNCTION("IMPORTRANGE(""https://docs.google.com/spreadsheets/d/1Yj_ptqi66GCucihVvJfMjLAmec39IyEx_6qawtMGysU/edit?usp=sharing"",""สบก!CL33"")"),28115)</f>
        <v>28115</v>
      </c>
      <c r="O275" s="168">
        <f ca="1">IF(L275&gt;0,N275*100/L275,0)</f>
        <v>50.93297101449275</v>
      </c>
      <c r="P275" s="168">
        <f ca="1">IF(M275&gt;0,N275*100/M275,0)</f>
        <v>87.178294573643413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IFERROR(__xludf.DUMMYFUNCTION("IMPORTRANGE(""https://docs.google.com/spreadsheets/d/11923uPwbBZFjjGgGUA6NLw09EwE0CqkOc4q9oUmW1yo/edit?usp=sharing"",""ลำพูน!J228"")"),100)</f>
        <v>100</v>
      </c>
      <c r="K328" s="317">
        <f ca="1">IF(I328&gt;0,J328*100/I328,0)</f>
        <v>29.239766081871345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745780</v>
      </c>
      <c r="M329" s="152">
        <f t="shared" ca="1" si="98"/>
        <v>573160</v>
      </c>
      <c r="N329" s="152">
        <f t="shared" ca="1" si="98"/>
        <v>423415</v>
      </c>
      <c r="O329" s="151">
        <f t="shared" ref="O329:O331" ca="1" si="99">IF(L329&gt;0,N329*100/L329,0)</f>
        <v>56.774786129957896</v>
      </c>
      <c r="P329" s="151">
        <f t="shared" ref="P329:P331" ca="1" si="100">IF(M329&gt;0,N329*100/M329,0)</f>
        <v>73.873787424104961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745780</v>
      </c>
      <c r="M331" s="88">
        <f t="shared" ca="1" si="102"/>
        <v>573160</v>
      </c>
      <c r="N331" s="88">
        <f t="shared" ca="1" si="102"/>
        <v>423415</v>
      </c>
      <c r="O331" s="156">
        <f t="shared" ca="1" si="99"/>
        <v>56.774786129957896</v>
      </c>
      <c r="P331" s="156">
        <f t="shared" ca="1" si="100"/>
        <v>73.873787424104961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734380</v>
      </c>
      <c r="M333" s="167">
        <f ca="1">IFERROR(__xludf.DUMMYFUNCTION("IMPORTRANGE(""https://docs.google.com/spreadsheets/d/1Yj_ptqi66GCucihVvJfMjLAmec39IyEx_6qawtMGysU/edit?usp=sharing"",""สบก!DL33"")"),561760)</f>
        <v>561760</v>
      </c>
      <c r="N333" s="168">
        <f ca="1">IFERROR(__xludf.DUMMYFUNCTION("IMPORTRANGE(""https://docs.google.com/spreadsheets/d/1Yj_ptqi66GCucihVvJfMjLAmec39IyEx_6qawtMGysU/edit?usp=sharing"",""สบก!DM33"")"),412015)</f>
        <v>412015</v>
      </c>
      <c r="O333" s="168">
        <f ca="1">IF(L333&gt;0,N333*100/L333,0)</f>
        <v>56.103788229526948</v>
      </c>
      <c r="P333" s="168">
        <f ca="1">IF(M333&gt;0,N333*100/M333,0)</f>
        <v>73.34359868983195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IFERROR(__xludf.DUMMYFUNCTION("IMPORTRANGE(""https://docs.google.com/spreadsheets/d/1Yj_ptqi66GCucihVvJfMjLAmec39IyEx_6qawtMGysU/edit?usp=sharing"",""สบก!DI33"")"),316780)</f>
        <v>316780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IFERROR(__xludf.DUMMYFUNCTION("IMPORTRANGE(""https://docs.google.com/spreadsheets/d/11923uPwbBZFjjGgGUA6NLw09EwE0CqkOc4q9oUmW1yo/edit?usp=sharing"",""ลำพูน!J234"")"),118)</f>
        <v>118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IFERROR(__xludf.DUMMYFUNCTION("IMPORTRANGE(""https://docs.google.com/spreadsheets/d/11923uPwbBZFjjGgGUA6NLw09EwE0CqkOc4q9oUmW1yo/edit?usp=sharing"",""ลำพูน!J235"")"),529.46)</f>
        <v>529.46</v>
      </c>
      <c r="K340" s="342">
        <f t="shared" ca="1" si="103"/>
        <v>75.637142857142862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IFERROR(__xludf.DUMMYFUNCTION("IMPORTRANGE(""https://docs.google.com/spreadsheets/d/11923uPwbBZFjjGgGUA6NLw09EwE0CqkOc4q9oUmW1yo/edit?usp=sharing"",""ลำพูน!J236"")"),152)</f>
        <v>152</v>
      </c>
      <c r="K341" s="342">
        <f t="shared" ca="1" si="103"/>
        <v>44.444444444444443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IFERROR(__xludf.DUMMYFUNCTION("IMPORTRANGE(""https://docs.google.com/spreadsheets/d/11923uPwbBZFjjGgGUA6NLw09EwE0CqkOc4q9oUmW1yo/edit?usp=sharing"",""ลำพูน!J237"")"),927.83)</f>
        <v>927.83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IFERROR(__xludf.DUMMYFUNCTION("IMPORTRANGE(""https://docs.google.com/spreadsheets/d/11923uPwbBZFjjGgGUA6NLw09EwE0CqkOc4q9oUmW1yo/edit?usp=sharing"",""ลำพูน!J240"")"),100)</f>
        <v>100</v>
      </c>
      <c r="K345" s="342">
        <f t="shared" ca="1" si="103"/>
        <v>29.239766081871345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IFERROR(__xludf.DUMMYFUNCTION("IMPORTRANGE(""https://docs.google.com/spreadsheets/d/11923uPwbBZFjjGgGUA6NLw09EwE0CqkOc4q9oUmW1yo/edit?usp=sharing"",""ลำพูน!J241"")"),663.87)</f>
        <v>663.87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IFERROR(__xludf.DUMMYFUNCTION("IMPORTRANGE(""https://docs.google.com/spreadsheets/d/11923uPwbBZFjjGgGUA6NLw09EwE0CqkOc4q9oUmW1yo/edit?usp=sharing"",""ลำพูน!L242"")"),2412210)</f>
        <v>2412210</v>
      </c>
      <c r="M347" s="357"/>
      <c r="N347" s="357">
        <f ca="1">IFERROR(__xludf.DUMMYFUNCTION("IMPORTRANGE(""https://docs.google.com/spreadsheets/d/11923uPwbBZFjjGgGUA6NLw09EwE0CqkOc4q9oUmW1yo/edit?usp=sharing"",""ลำพูน!M242"")"),966620)</f>
        <v>966620</v>
      </c>
      <c r="O347" s="357">
        <f ca="1">+IF(L347&gt;0,N347*100/L347,0)</f>
        <v>40.071967200202302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IFERROR(__xludf.DUMMYFUNCTION("IMPORTRANGE(""https://docs.google.com/spreadsheets/d/11923uPwbBZFjjGgGUA6NLw09EwE0CqkOc4q9oUmW1yo/edit?usp=sharing"",""ลำพูน!M244"")"),323820)</f>
        <v>323820</v>
      </c>
      <c r="O349" s="372">
        <f ca="1">+IF(L349&gt;0,N349*100/L349,0)</f>
        <v>70.490661326135225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IFERROR(__xludf.DUMMYFUNCTION("IMPORTRANGE(""https://docs.google.com/spreadsheets/d/11923uPwbBZFjjGgGUA6NLw09EwE0CqkOc4q9oUmW1yo/edit?usp=sharing"",""ลำพูน!M247"")"),323820)</f>
        <v>323820</v>
      </c>
      <c r="O352" s="165">
        <f t="shared" ca="1" si="105"/>
        <v>70.490661326135225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IFERROR(__xludf.DUMMYFUNCTION("IMPORTRANGE(""https://docs.google.com/spreadsheets/d/11923uPwbBZFjjGgGUA6NLw09EwE0CqkOc4q9oUmW1yo/edit?usp=sharing"",""ลำพูน!M249"")"),323820)</f>
        <v>323820</v>
      </c>
      <c r="O354" s="168">
        <f t="shared" ca="1" si="105"/>
        <v>70.490661326135225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IFERROR(__xludf.DUMMYFUNCTION("IMPORTRANGE(""https://docs.google.com/spreadsheets/d/11923uPwbBZFjjGgGUA6NLw09EwE0CqkOc4q9oUmW1yo/edit?usp=sharing"",""ลำพูน!M252"")"),42935)</f>
        <v>42935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IFERROR(__xludf.DUMMYFUNCTION("IMPORTRANGE(""https://docs.google.com/spreadsheets/d/11923uPwbBZFjjGgGUA6NLw09EwE0CqkOc4q9oUmW1yo/edit?usp=sharing"",""ลำพูน!M253"")"),12485)</f>
        <v>12485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IFERROR(__xludf.DUMMYFUNCTION("IMPORTRANGE(""https://docs.google.com/spreadsheets/d/11923uPwbBZFjjGgGUA6NLw09EwE0CqkOc4q9oUmW1yo/edit?usp=sharing"",""ลำพูน!M275"")"),274467)</f>
        <v>274467</v>
      </c>
      <c r="O380" s="372">
        <f ca="1">+IF(L380&gt;0,N380*100/L380,0)</f>
        <v>26.685625947964066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IFERROR(__xludf.DUMMYFUNCTION("IMPORTRANGE(""https://docs.google.com/spreadsheets/d/11923uPwbBZFjjGgGUA6NLw09EwE0CqkOc4q9oUmW1yo/edit?usp=sharing"",""ลำพูน!M278"")"),274467)</f>
        <v>274467</v>
      </c>
      <c r="O383" s="165">
        <f t="shared" ca="1" si="109"/>
        <v>26.685625947964066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IFERROR(__xludf.DUMMYFUNCTION("IMPORTRANGE(""https://docs.google.com/spreadsheets/d/11923uPwbBZFjjGgGUA6NLw09EwE0CqkOc4q9oUmW1yo/edit?usp=sharing"",""ลำพูน!M280"")"),274467)</f>
        <v>274467</v>
      </c>
      <c r="O385" s="168">
        <f t="shared" ca="1" si="109"/>
        <v>26.685625947964066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IFERROR(__xludf.DUMMYFUNCTION("IMPORTRANGE(""https://docs.google.com/spreadsheets/d/11923uPwbBZFjjGgGUA6NLw09EwE0CqkOc4q9oUmW1yo/edit?usp=sharing"",""ลำพูน!M281"")"),190300)</f>
        <v>190300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IFERROR(__xludf.DUMMYFUNCTION("IMPORTRANGE(""https://docs.google.com/spreadsheets/d/11923uPwbBZFjjGgGUA6NLw09EwE0CqkOc4q9oUmW1yo/edit?usp=sharing"",""ลำพูน!M283"")"),63467)</f>
        <v>63467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IFERROR(__xludf.DUMMYFUNCTION("IMPORTRANGE(""https://docs.google.com/spreadsheets/d/11923uPwbBZFjjGgGUA6NLw09EwE0CqkOc4q9oUmW1yo/edit?usp=sharing"",""ลำพูน!M284"")"),20700)</f>
        <v>20700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IFERROR(__xludf.DUMMYFUNCTION("IMPORTRANGE(""https://docs.google.com/spreadsheets/d/11923uPwbBZFjjGgGUA6NLw09EwE0CqkOc4q9oUmW1yo/edit?usp=sharing"",""ลำพูน!M296"")"),84405)</f>
        <v>84405</v>
      </c>
      <c r="O401" s="372">
        <f ca="1">+IF(L401&gt;0,N401*100/L401,0)</f>
        <v>44.850948509485093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IFERROR(__xludf.DUMMYFUNCTION("IMPORTRANGE(""https://docs.google.com/spreadsheets/d/11923uPwbBZFjjGgGUA6NLw09EwE0CqkOc4q9oUmW1yo/edit?usp=sharing"",""ลำพูน!J297"")"),20)</f>
        <v>20</v>
      </c>
      <c r="K402" s="371">
        <f t="shared" ca="1" si="111"/>
        <v>36.363636363636367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IFERROR(__xludf.DUMMYFUNCTION("IMPORTRANGE(""https://docs.google.com/spreadsheets/d/11923uPwbBZFjjGgGUA6NLw09EwE0CqkOc4q9oUmW1yo/edit?usp=sharing"",""ลำพูน!M299"")"),84405)</f>
        <v>84405</v>
      </c>
      <c r="O404" s="168">
        <f t="shared" ca="1" si="112"/>
        <v>44.850948509485093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IFERROR(__xludf.DUMMYFUNCTION("IMPORTRANGE(""https://docs.google.com/spreadsheets/d/11923uPwbBZFjjGgGUA6NLw09EwE0CqkOc4q9oUmW1yo/edit?usp=sharing"",""ลำพูน!M301"")"),84405)</f>
        <v>84405</v>
      </c>
      <c r="O406" s="168">
        <f t="shared" ca="1" si="112"/>
        <v>44.850948509485093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IFERROR(__xludf.DUMMYFUNCTION("IMPORTRANGE(""https://docs.google.com/spreadsheets/d/11923uPwbBZFjjGgGUA6NLw09EwE0CqkOc4q9oUmW1yo/edit?usp=sharing"",""ลำพูน!M302"")"),84405)</f>
        <v>84405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IFERROR(__xludf.DUMMYFUNCTION("IMPORTRANGE(""https://docs.google.com/spreadsheets/d/11923uPwbBZFjjGgGUA6NLw09EwE0CqkOc4q9oUmW1yo/edit?usp=sharing"",""ลำพูน!M303"")"),0)</f>
        <v>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IFERROR(__xludf.DUMMYFUNCTION("IMPORTRANGE(""https://docs.google.com/spreadsheets/d/11923uPwbBZFjjGgGUA6NLw09EwE0CqkOc4q9oUmW1yo/edit?usp=sharing"",""ลำพูน!M305"")"),0)</f>
        <v>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IFERROR(__xludf.DUMMYFUNCTION("IMPORTRANGE(""https://docs.google.com/spreadsheets/d/11923uPwbBZFjjGgGUA6NLw09EwE0CqkOc4q9oUmW1yo/edit?usp=sharing"",""ลำพูน!J311"")"),20)</f>
        <v>20</v>
      </c>
      <c r="K416" s="201">
        <f t="shared" ref="K416:K432" ca="1" si="113">IF(I416&gt;0,J416*100/I416,0)</f>
        <v>36.363636363636367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IFERROR(__xludf.DUMMYFUNCTION("IMPORTRANGE(""https://docs.google.com/spreadsheets/d/11923uPwbBZFjjGgGUA6NLw09EwE0CqkOc4q9oUmW1yo/edit?usp=sharing"",""ลำพูน!J325"")"),10)</f>
        <v>10</v>
      </c>
      <c r="K430" s="201">
        <f t="shared" ca="1" si="113"/>
        <v>22.222222222222221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IFERROR(__xludf.DUMMYFUNCTION("IMPORTRANGE(""https://docs.google.com/spreadsheets/d/11923uPwbBZFjjGgGUA6NLw09EwE0CqkOc4q9oUmW1yo/edit?usp=sharing"",""ลำพูน!L330"")"),118000)</f>
        <v>118000</v>
      </c>
      <c r="M435" s="411"/>
      <c r="N435" s="411">
        <f ca="1">IFERROR(__xludf.DUMMYFUNCTION("IMPORTRANGE(""https://docs.google.com/spreadsheets/d/11923uPwbBZFjjGgGUA6NLw09EwE0CqkOc4q9oUmW1yo/edit?usp=sharing"",""ลำพูน!M330"")"),41220)</f>
        <v>41220</v>
      </c>
      <c r="O435" s="411">
        <f t="shared" ref="O435:O439" ca="1" si="114">+IF(L435&gt;0,N435*100/L435,0)</f>
        <v>34.932203389830505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IFERROR(__xludf.DUMMYFUNCTION("IMPORTRANGE(""https://docs.google.com/spreadsheets/d/11923uPwbBZFjjGgGUA6NLw09EwE0CqkOc4q9oUmW1yo/edit?usp=sharing"",""ลำพูน!L332"")"),118000)</f>
        <v>118000</v>
      </c>
      <c r="M437" s="165"/>
      <c r="N437" s="168">
        <f ca="1">IFERROR(__xludf.DUMMYFUNCTION("IMPORTRANGE(""https://docs.google.com/spreadsheets/d/11923uPwbBZFjjGgGUA6NLw09EwE0CqkOc4q9oUmW1yo/edit?usp=sharing"",""ลำพูน!M332"")"),41220)</f>
        <v>41220</v>
      </c>
      <c r="O437" s="168">
        <f t="shared" ca="1" si="114"/>
        <v>34.932203389830505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IFERROR(__xludf.DUMMYFUNCTION("IMPORTRANGE(""https://docs.google.com/spreadsheets/d/11923uPwbBZFjjGgGUA6NLw09EwE0CqkOc4q9oUmW1yo/edit?usp=sharing"",""ลำพูน!L334"")"),118000)</f>
        <v>118000</v>
      </c>
      <c r="M439" s="168"/>
      <c r="N439" s="168">
        <f ca="1">IFERROR(__xludf.DUMMYFUNCTION("IMPORTRANGE(""https://docs.google.com/spreadsheets/d/11923uPwbBZFjjGgGUA6NLw09EwE0CqkOc4q9oUmW1yo/edit?usp=sharing"",""ลำพูน!M334"")"),41220)</f>
        <v>41220</v>
      </c>
      <c r="O439" s="168">
        <f t="shared" ca="1" si="114"/>
        <v>34.932203389830505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IFERROR(__xludf.DUMMYFUNCTION("IMPORTRANGE(""https://docs.google.com/spreadsheets/d/11923uPwbBZFjjGgGUA6NLw09EwE0CqkOc4q9oUmW1yo/edit?usp=sharing"",""ลำพูน!M335"")"),41220)</f>
        <v>41220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IFERROR(__xludf.DUMMYFUNCTION("IMPORTRANGE(""https://docs.google.com/spreadsheets/d/11923uPwbBZFjjGgGUA6NLw09EwE0CqkOc4q9oUmW1yo/edit?usp=sharing"",""ลำพูน!M338"")"),0)</f>
        <v>0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IFERROR(__xludf.DUMMYFUNCTION("IMPORTRANGE(""https://docs.google.com/spreadsheets/d/11923uPwbBZFjjGgGUA6NLw09EwE0CqkOc4q9oUmW1yo/edit?usp=sharing"",""ลำพูน!L350"")"),452350)</f>
        <v>452350</v>
      </c>
      <c r="M455" s="372"/>
      <c r="N455" s="372">
        <f ca="1">IFERROR(__xludf.DUMMYFUNCTION("IMPORTRANGE(""https://docs.google.com/spreadsheets/d/11923uPwbBZFjjGgGUA6NLw09EwE0CqkOc4q9oUmW1yo/edit?usp=sharing"",""ลำพูน!M350"")"),175584)</f>
        <v>175584</v>
      </c>
      <c r="O455" s="372">
        <f t="shared" ref="O455:O459" ca="1" si="116">+IF(L455&gt;0,N455*100/L455,0)</f>
        <v>38.815961092074723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IFERROR(__xludf.DUMMYFUNCTION("IMPORTRANGE(""https://docs.google.com/spreadsheets/d/11923uPwbBZFjjGgGUA6NLw09EwE0CqkOc4q9oUmW1yo/edit?usp=sharing"",""ลำพูน!L352"")"),452350)</f>
        <v>452350</v>
      </c>
      <c r="M457" s="165"/>
      <c r="N457" s="168">
        <f ca="1">IFERROR(__xludf.DUMMYFUNCTION("IMPORTRANGE(""https://docs.google.com/spreadsheets/d/11923uPwbBZFjjGgGUA6NLw09EwE0CqkOc4q9oUmW1yo/edit?usp=sharing"",""ลำพูน!M352"")"),175584)</f>
        <v>175584</v>
      </c>
      <c r="O457" s="168">
        <f t="shared" ca="1" si="116"/>
        <v>38.815961092074723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IFERROR(__xludf.DUMMYFUNCTION("IMPORTRANGE(""https://docs.google.com/spreadsheets/d/11923uPwbBZFjjGgGUA6NLw09EwE0CqkOc4q9oUmW1yo/edit?usp=sharing"",""ลำพูน!L354"")"),452350)</f>
        <v>452350</v>
      </c>
      <c r="M459" s="168"/>
      <c r="N459" s="168">
        <f ca="1">IFERROR(__xludf.DUMMYFUNCTION("IMPORTRANGE(""https://docs.google.com/spreadsheets/d/11923uPwbBZFjjGgGUA6NLw09EwE0CqkOc4q9oUmW1yo/edit?usp=sharing"",""ลำพูน!M354"")"),175584)</f>
        <v>175584</v>
      </c>
      <c r="O459" s="168">
        <f t="shared" ca="1" si="116"/>
        <v>38.815961092074723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IFERROR(__xludf.DUMMYFUNCTION("IMPORTRANGE(""https://docs.google.com/spreadsheets/d/11923uPwbBZFjjGgGUA6NLw09EwE0CqkOc4q9oUmW1yo/edit?usp=sharing"",""ลำพูน!M357"")"),70839)</f>
        <v>70839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IFERROR(__xludf.DUMMYFUNCTION("IMPORTRANGE(""https://docs.google.com/spreadsheets/d/11923uPwbBZFjjGgGUA6NLw09EwE0CqkOc4q9oUmW1yo/edit?usp=sharing"",""ลำพูน!M358"")"),104745)</f>
        <v>104745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IFERROR(__xludf.DUMMYFUNCTION("IMPORTRANGE(""https://docs.google.com/spreadsheets/d/11923uPwbBZFjjGgGUA6NLw09EwE0CqkOc4q9oUmW1yo/edit?usp=sharing"",""ลำพูน!J459"")"),1108)</f>
        <v>1108</v>
      </c>
      <c r="K564" s="371">
        <f ca="1">IF(I564&gt;0,J564*100/I564,0)</f>
        <v>170.46153846153845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IFERROR(__xludf.DUMMYFUNCTION("IMPORTRANGE(""https://docs.google.com/spreadsheets/d/11923uPwbBZFjjGgGUA6NLw09EwE0CqkOc4q9oUmW1yo/edit?usp=sharing"",""ลำพูน!M459"")"),48305)</f>
        <v>48305</v>
      </c>
      <c r="O564" s="372">
        <f t="shared" ref="O564:O568" ca="1" si="122">+IF(L564&gt;0,N564*100/L564,0)</f>
        <v>38.071406052963432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IFERROR(__xludf.DUMMYFUNCTION("IMPORTRANGE(""https://docs.google.com/spreadsheets/d/11923uPwbBZFjjGgGUA6NLw09EwE0CqkOc4q9oUmW1yo/edit?usp=sharing"",""ลำพูน!M461"")"),48305)</f>
        <v>48305</v>
      </c>
      <c r="O566" s="168">
        <f t="shared" ca="1" si="122"/>
        <v>38.071406052963432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IFERROR(__xludf.DUMMYFUNCTION("IMPORTRANGE(""https://docs.google.com/spreadsheets/d/11923uPwbBZFjjGgGUA6NLw09EwE0CqkOc4q9oUmW1yo/edit?usp=sharing"",""ลำพูน!M463"")"),48305)</f>
        <v>48305</v>
      </c>
      <c r="O568" s="168">
        <f t="shared" ca="1" si="122"/>
        <v>38.071406052963432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IFERROR(__xludf.DUMMYFUNCTION("IMPORTRANGE(""https://docs.google.com/spreadsheets/d/11923uPwbBZFjjGgGUA6NLw09EwE0CqkOc4q9oUmW1yo/edit?usp=sharing"",""ลำพูน!M466"")"),42935)</f>
        <v>42935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IFERROR(__xludf.DUMMYFUNCTION("IMPORTRANGE(""https://docs.google.com/spreadsheets/d/11923uPwbBZFjjGgGUA6NLw09EwE0CqkOc4q9oUmW1yo/edit?usp=sharing"",""ลำพูน!M467"")"),5370)</f>
        <v>5370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IFERROR(__xludf.DUMMYFUNCTION("IMPORTRANGE(""https://docs.google.com/spreadsheets/d/11923uPwbBZFjjGgGUA6NLw09EwE0CqkOc4q9oUmW1yo/edit?usp=sharing"",""ลำพูน!J468"")"),1108)</f>
        <v>1108</v>
      </c>
      <c r="K573" s="201">
        <f ca="1">IF(I573&gt;0,J573*100/I573,0)</f>
        <v>170.46153846153845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IFERROR(__xludf.DUMMYFUNCTION("IMPORTRANGE(""https://docs.google.com/spreadsheets/d/11923uPwbBZFjjGgGUA6NLw09EwE0CqkOc4q9oUmW1yo/edit?usp=sharing"",""ลำพูน!J471"")"),271)</f>
        <v>271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IFERROR(__xludf.DUMMYFUNCTION("IMPORTRANGE(""https://docs.google.com/spreadsheets/d/11923uPwbBZFjjGgGUA6NLw09EwE0CqkOc4q9oUmW1yo/edit?usp=sharing"",""ลำพูน!J472"")"),837)</f>
        <v>837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7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IFERROR(__xludf.DUMMYFUNCTION("IMPORTRANGE(""https://docs.google.com/spreadsheets/d/11923uPwbBZFjjGgGUA6NLw09EwE0CqkOc4q9oUmW1yo/edit?usp=sharing"",""ลำพูน!J523"")"),4865394)</f>
        <v>4865394</v>
      </c>
      <c r="K628" s="342">
        <f t="shared" ref="K628:K635" ca="1" si="129">IF(I628&gt;0,J628*100/I628,0)</f>
        <v>73.970262257696689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IFERROR(__xludf.DUMMYFUNCTION("IMPORTRANGE(""https://docs.google.com/spreadsheets/d/11923uPwbBZFjjGgGUA6NLw09EwE0CqkOc4q9oUmW1yo/edit?usp=sharing"",""ลำพูน!J524"")"),166)</f>
        <v>166</v>
      </c>
      <c r="K629" s="342">
        <f t="shared" ca="1" si="129"/>
        <v>75.799086757990864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IFERROR(__xludf.DUMMYFUNCTION("IMPORTRANGE(""https://docs.google.com/spreadsheets/d/11923uPwbBZFjjGgGUA6NLw09EwE0CqkOc4q9oUmW1yo/edit?usp=sharing"",""ลำพูน!J525"")"),134134.6)</f>
        <v>134134.6</v>
      </c>
      <c r="K630" s="342">
        <f t="shared" ca="1" si="129"/>
        <v>2.4561991511950301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IFERROR(__xludf.DUMMYFUNCTION("IMPORTRANGE(""https://docs.google.com/spreadsheets/d/11923uPwbBZFjjGgGUA6NLw09EwE0CqkOc4q9oUmW1yo/edit?usp=sharing"",""ลำพูน!J526"")"),25)</f>
        <v>25</v>
      </c>
      <c r="K631" s="342">
        <f t="shared" ca="1" si="129"/>
        <v>11.737089201877934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IFERROR(__xludf.DUMMYFUNCTION("IMPORTRANGE(""https://docs.google.com/spreadsheets/d/11923uPwbBZFjjGgGUA6NLw09EwE0CqkOc4q9oUmW1yo/edit?usp=sharing"",""ลำพูน!J527"")"),320686.95)</f>
        <v>320686.95</v>
      </c>
      <c r="K632" s="342">
        <f t="shared" ca="1" si="129"/>
        <v>9.266660533527137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IFERROR(__xludf.DUMMYFUNCTION("IMPORTRANGE(""https://docs.google.com/spreadsheets/d/11923uPwbBZFjjGgGUA6NLw09EwE0CqkOc4q9oUmW1yo/edit?usp=sharing"",""ลำพูน!J528"")"),134)</f>
        <v>134</v>
      </c>
      <c r="K633" s="342">
        <f t="shared" ca="1" si="129"/>
        <v>28.632478632478634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IFERROR(__xludf.DUMMYFUNCTION("IMPORTRANGE(""https://docs.google.com/spreadsheets/d/11923uPwbBZFjjGgGUA6NLw09EwE0CqkOc4q9oUmW1yo/edit?usp=sharing"",""ลำพูน!J529"")"),5440000)</f>
        <v>5440000</v>
      </c>
      <c r="K634" s="342">
        <f t="shared" ca="1" si="129"/>
        <v>77.714285714285708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IFERROR(__xludf.DUMMYFUNCTION("IMPORTRANGE(""https://docs.google.com/spreadsheets/d/11923uPwbBZFjjGgGUA6NLw09EwE0CqkOc4q9oUmW1yo/edit?usp=sharing"",""ลำพูน!I530"")"),230)</f>
        <v>230</v>
      </c>
      <c r="J635" s="504">
        <f ca="1">IFERROR(__xludf.DUMMYFUNCTION("IMPORTRANGE(""https://docs.google.com/spreadsheets/d/11923uPwbBZFjjGgGUA6NLw09EwE0CqkOc4q9oUmW1yo/edit?usp=sharing"",""ลำพูน!J530"")"),176)</f>
        <v>176</v>
      </c>
      <c r="K635" s="486">
        <f t="shared" ca="1" si="129"/>
        <v>76.521739130434781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33500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33500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33500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IFERROR(__xludf.DUMMYFUNCTION("IMPORTRANGE(""https://docs.google.com/spreadsheets/d/11923uPwbBZFjjGgGUA6NLw09EwE0CqkOc4q9oUmW1yo/edit?usp=sharing"",""ลำพูน!J541"")"),0)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IFERROR(__xludf.DUMMYFUNCTION("IMPORTRANGE(""https://docs.google.com/spreadsheets/d/11923uPwbBZFjjGgGUA6NLw09EwE0CqkOc4q9oUmW1yo/edit?usp=sharing"",""ลำพูน!J542"")"),0)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IFERROR(__xludf.DUMMYFUNCTION("IMPORTRANGE(""https://docs.google.com/spreadsheets/d/11923uPwbBZFjjGgGUA6NLw09EwE0CqkOc4q9oUmW1yo/edit?usp=sharing"",""ลำพูน!I543"")"),0)</f>
        <v>0</v>
      </c>
      <c r="J648" s="535">
        <f ca="1">IFERROR(__xludf.DUMMYFUNCTION("IMPORTRANGE(""https://docs.google.com/spreadsheets/d/11923uPwbBZFjjGgGUA6NLw09EwE0CqkOc4q9oUmW1yo/edit?usp=sharing"",""ลำพูน!J543"")"),0)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IFERROR(__xludf.DUMMYFUNCTION("IMPORTRANGE(""https://docs.google.com/spreadsheets/d/11923uPwbBZFjjGgGUA6NLw09EwE0CqkOc4q9oUmW1yo/edit?usp=sharing"",""ลำพูน!L543"")"),0)</f>
        <v>0</v>
      </c>
      <c r="M648" s="520"/>
      <c r="N648" s="537">
        <f ca="1">IFERROR(__xludf.DUMMYFUNCTION("IMPORTRANGE(""https://docs.google.com/spreadsheets/d/11923uPwbBZFjjGgGUA6NLw09EwE0CqkOc4q9oUmW1yo/edit?usp=sharing"",""ลำพูน!M543"")"),0)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IFERROR(__xludf.DUMMYFUNCTION("IMPORTRANGE(""https://docs.google.com/spreadsheets/d/11923uPwbBZFjjGgGUA6NLw09EwE0CqkOc4q9oUmW1yo/edit?usp=sharing"",""ลำพูน!I544"")"),24)</f>
        <v>24</v>
      </c>
      <c r="J649" s="535">
        <f ca="1">IFERROR(__xludf.DUMMYFUNCTION("IMPORTRANGE(""https://docs.google.com/spreadsheets/d/11923uPwbBZFjjGgGUA6NLw09EwE0CqkOc4q9oUmW1yo/edit?usp=sharing"",""ลำพูน!J544"")"),0)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IFERROR(__xludf.DUMMYFUNCTION("IMPORTRANGE(""https://docs.google.com/spreadsheets/d/11923uPwbBZFjjGgGUA6NLw09EwE0CqkOc4q9oUmW1yo/edit?usp=sharing"",""ลำพูน!L544"")"),2880)</f>
        <v>2880</v>
      </c>
      <c r="M649" s="520"/>
      <c r="N649" s="537">
        <f ca="1">IFERROR(__xludf.DUMMYFUNCTION("IMPORTRANGE(""https://docs.google.com/spreadsheets/d/11923uPwbBZFjjGgGUA6NLw09EwE0CqkOc4q9oUmW1yo/edit?usp=sharing"",""ลำพูน!M544"")"),0)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IFERROR(__xludf.DUMMYFUNCTION("IMPORTRANGE(""https://docs.google.com/spreadsheets/d/11923uPwbBZFjjGgGUA6NLw09EwE0CqkOc4q9oUmW1yo/edit?usp=sharing"",""ลำพูน!I545"")"),200)</f>
        <v>200</v>
      </c>
      <c r="J650" s="535">
        <f ca="1">IFERROR(__xludf.DUMMYFUNCTION("IMPORTRANGE(""https://docs.google.com/spreadsheets/d/11923uPwbBZFjjGgGUA6NLw09EwE0CqkOc4q9oUmW1yo/edit?usp=sharing"",""ลำพูน!J545"")"),0)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IFERROR(__xludf.DUMMYFUNCTION("IMPORTRANGE(""https://docs.google.com/spreadsheets/d/11923uPwbBZFjjGgGUA6NLw09EwE0CqkOc4q9oUmW1yo/edit?usp=sharing"",""ลำพูน!L545"")"),1000)</f>
        <v>1000</v>
      </c>
      <c r="M650" s="520"/>
      <c r="N650" s="537">
        <f ca="1">IFERROR(__xludf.DUMMYFUNCTION("IMPORTRANGE(""https://docs.google.com/spreadsheets/d/11923uPwbBZFjjGgGUA6NLw09EwE0CqkOc4q9oUmW1yo/edit?usp=sharing"",""ลำพูน!M545"")"),0)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IFERROR(__xludf.DUMMYFUNCTION("IMPORTRANGE(""https://docs.google.com/spreadsheets/d/11923uPwbBZFjjGgGUA6NLw09EwE0CqkOc4q9oUmW1yo/edit?usp=sharing"",""ลำพูน!I546"")"),100)</f>
        <v>100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IFERROR(__xludf.DUMMYFUNCTION("IMPORTRANGE(""https://docs.google.com/spreadsheets/d/11923uPwbBZFjjGgGUA6NLw09EwE0CqkOc4q9oUmW1yo/edit?usp=sharing"",""ลำพูน!L546"")"),2500)</f>
        <v>2500</v>
      </c>
      <c r="M651" s="520"/>
      <c r="N651" s="537">
        <f ca="1">IFERROR(__xludf.DUMMYFUNCTION("IMPORTRANGE(""https://docs.google.com/spreadsheets/d/11923uPwbBZFjjGgGUA6NLw09EwE0CqkOc4q9oUmW1yo/edit?usp=sharing"",""ลำพูน!M546"")"),0)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IFERROR(__xludf.DUMMYFUNCTION("IMPORTRANGE(""https://docs.google.com/spreadsheets/d/11923uPwbBZFjjGgGUA6NLw09EwE0CqkOc4q9oUmW1yo/edit?usp=sharing"",""ลำพูน!J547"")"),0)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IFERROR(__xludf.DUMMYFUNCTION("IMPORTRANGE(""https://docs.google.com/spreadsheets/d/11923uPwbBZFjjGgGUA6NLw09EwE0CqkOc4q9oUmW1yo/edit?usp=sharing"",""ลำพูน!J548"")"),0)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IFERROR(__xludf.DUMMYFUNCTION("IMPORTRANGE(""https://docs.google.com/spreadsheets/d/11923uPwbBZFjjGgGUA6NLw09EwE0CqkOc4q9oUmW1yo/edit?usp=sharing"",""ลำพูน!J550"")"),0)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IFERROR(__xludf.DUMMYFUNCTION("IMPORTRANGE(""https://docs.google.com/spreadsheets/d/11923uPwbBZFjjGgGUA6NLw09EwE0CqkOc4q9oUmW1yo/edit?usp=sharing"",""ลำพูน!J551"")"),0)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IFERROR(__xludf.DUMMYFUNCTION("IMPORTRANGE(""https://docs.google.com/spreadsheets/d/11923uPwbBZFjjGgGUA6NLw09EwE0CqkOc4q9oUmW1yo/edit?usp=sharing"",""ลำพูน!J552"")"),0)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IFERROR(__xludf.DUMMYFUNCTION("IMPORTRANGE(""https://docs.google.com/spreadsheets/d/11923uPwbBZFjjGgGUA6NLw09EwE0CqkOc4q9oUmW1yo/edit?usp=sharing"",""ลำพูน!J553"")"),0)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IFERROR(__xludf.DUMMYFUNCTION("IMPORTRANGE(""https://docs.google.com/spreadsheets/d/11923uPwbBZFjjGgGUA6NLw09EwE0CqkOc4q9oUmW1yo/edit?usp=sharing"",""ลำพูน!J554"")"),0)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IFERROR(__xludf.DUMMYFUNCTION("IMPORTRANGE(""https://docs.google.com/spreadsheets/d/11923uPwbBZFjjGgGUA6NLw09EwE0CqkOc4q9oUmW1yo/edit?usp=sharing"",""ลำพูน!J555"")"),0)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IFERROR(__xludf.DUMMYFUNCTION("IMPORTRANGE(""https://docs.google.com/spreadsheets/d/11923uPwbBZFjjGgGUA6NLw09EwE0CqkOc4q9oUmW1yo/edit?usp=sharing"",""ลำพูน!J556"")"),0)</f>
        <v>0</v>
      </c>
      <c r="K661" s="536"/>
      <c r="L661" s="521">
        <f ca="1">IFERROR(__xludf.DUMMYFUNCTION("IMPORTRANGE(""https://docs.google.com/spreadsheets/d/11923uPwbBZFjjGgGUA6NLw09EwE0CqkOc4q9oUmW1yo/edit?usp=sharing"",""ลำพูน!L556"")"),16000)</f>
        <v>16000</v>
      </c>
      <c r="M661" s="520"/>
      <c r="N661" s="537">
        <f ca="1">IFERROR(__xludf.DUMMYFUNCTION("IMPORTRANGE(""https://docs.google.com/spreadsheets/d/11923uPwbBZFjjGgGUA6NLw09EwE0CqkOc4q9oUmW1yo/edit?usp=sharing"",""ลำพูน!M556"")"),0)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IFERROR(__xludf.DUMMYFUNCTION("IMPORTRANGE(""https://docs.google.com/spreadsheets/d/11923uPwbBZFjjGgGUA6NLw09EwE0CqkOc4q9oUmW1yo/edit?usp=sharing"",""ลำพูน!J557"")"),0)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IFERROR(__xludf.DUMMYFUNCTION("IMPORTRANGE(""https://docs.google.com/spreadsheets/d/11923uPwbBZFjjGgGUA6NLw09EwE0CqkOc4q9oUmW1yo/edit?usp=sharing"",""ลำพูน!I558"")"),400)</f>
        <v>400</v>
      </c>
      <c r="J663" s="535">
        <f ca="1">IFERROR(__xludf.DUMMYFUNCTION("IMPORTRANGE(""https://docs.google.com/spreadsheets/d/11923uPwbBZFjjGgGUA6NLw09EwE0CqkOc4q9oUmW1yo/edit?usp=sharing"",""ลำพูน!J558"")"),0)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IFERROR(__xludf.DUMMYFUNCTION("IMPORTRANGE(""https://docs.google.com/spreadsheets/d/11923uPwbBZFjjGgGUA6NLw09EwE0CqkOc4q9oUmW1yo/edit?usp=sharing"",""ลำพูน!I560"")"),20)</f>
        <v>20</v>
      </c>
      <c r="J665" s="535">
        <f ca="1">IFERROR(__xludf.DUMMYFUNCTION("IMPORTRANGE(""https://docs.google.com/spreadsheets/d/11923uPwbBZFjjGgGUA6NLw09EwE0CqkOc4q9oUmW1yo/edit?usp=sharing"",""ลำพูน!J560"")"),0)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IFERROR(__xludf.DUMMYFUNCTION("IMPORTRANGE(""https://docs.google.com/spreadsheets/d/11923uPwbBZFjjGgGUA6NLw09EwE0CqkOc4q9oUmW1yo/edit?usp=sharing"",""ลำพูน!L560"")"),2400)</f>
        <v>2400</v>
      </c>
      <c r="M665" s="520"/>
      <c r="N665" s="537">
        <f ca="1">IFERROR(__xludf.DUMMYFUNCTION("IMPORTRANGE(""https://docs.google.com/spreadsheets/d/11923uPwbBZFjjGgGUA6NLw09EwE0CqkOc4q9oUmW1yo/edit?usp=sharing"",""ลำพูน!M560"")"),0)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IFERROR(__xludf.DUMMYFUNCTION("IMPORTRANGE(""https://docs.google.com/spreadsheets/d/11923uPwbBZFjjGgGUA6NLw09EwE0CqkOc4q9oUmW1yo/edit?usp=sharing"",""ลำพูน!J561"")"),0)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IFERROR(__xludf.DUMMYFUNCTION("IMPORTRANGE(""https://docs.google.com/spreadsheets/d/11923uPwbBZFjjGgGUA6NLw09EwE0CqkOc4q9oUmW1yo/edit?usp=sharing"",""ลำพูน!J562"")"),0)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IFERROR(__xludf.DUMMYFUNCTION("IMPORTRANGE(""https://docs.google.com/spreadsheets/d/11923uPwbBZFjjGgGUA6NLw09EwE0CqkOc4q9oUmW1yo/edit?usp=sharing"",""ลำพูน!I563"")"),6)</f>
        <v>6</v>
      </c>
      <c r="J668" s="535">
        <f ca="1">IFERROR(__xludf.DUMMYFUNCTION("IMPORTRANGE(""https://docs.google.com/spreadsheets/d/11923uPwbBZFjjGgGUA6NLw09EwE0CqkOc4q9oUmW1yo/edit?usp=sharing"",""ลำพูน!J563"")"),0)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IFERROR(__xludf.DUMMYFUNCTION("IMPORTRANGE(""https://docs.google.com/spreadsheets/d/11923uPwbBZFjjGgGUA6NLw09EwE0CqkOc4q9oUmW1yo/edit?usp=sharing"",""ลำพูน!L563"")"),5520)</f>
        <v>5520</v>
      </c>
      <c r="M668" s="520"/>
      <c r="N668" s="537">
        <f ca="1">IFERROR(__xludf.DUMMYFUNCTION("IMPORTRANGE(""https://docs.google.com/spreadsheets/d/11923uPwbBZFjjGgGUA6NLw09EwE0CqkOc4q9oUmW1yo/edit?usp=sharing"",""ลำพูน!M563"")"),0)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IFERROR(__xludf.DUMMYFUNCTION("IMPORTRANGE(""https://docs.google.com/spreadsheets/d/11923uPwbBZFjjGgGUA6NLw09EwE0CqkOc4q9oUmW1yo/edit?usp=sharing"",""ลำพูน!J564"")"),0)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IFERROR(__xludf.DUMMYFUNCTION("IMPORTRANGE(""https://docs.google.com/spreadsheets/d/11923uPwbBZFjjGgGUA6NLw09EwE0CqkOc4q9oUmW1yo/edit?usp=sharing"",""ลำพูน!J565"")"),0)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IFERROR(__xludf.DUMMYFUNCTION("IMPORTRANGE(""https://docs.google.com/spreadsheets/d/11923uPwbBZFjjGgGUA6NLw09EwE0CqkOc4q9oUmW1yo/edit?usp=sharing"",""ลำพูน!I566"")"),40)</f>
        <v>40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IFERROR(__xludf.DUMMYFUNCTION("IMPORTRANGE(""https://docs.google.com/spreadsheets/d/11923uPwbBZFjjGgGUA6NLw09EwE0CqkOc4q9oUmW1yo/edit?usp=sharing"",""ลำพูน!L566"")"),3200)</f>
        <v>3200</v>
      </c>
      <c r="M671" s="520"/>
      <c r="N671" s="537">
        <f ca="1">IFERROR(__xludf.DUMMYFUNCTION("IMPORTRANGE(""https://docs.google.com/spreadsheets/d/11923uPwbBZFjjGgGUA6NLw09EwE0CqkOc4q9oUmW1yo/edit?usp=sharing"",""ลำพูน!M566"")"),0)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IFERROR(__xludf.DUMMYFUNCTION("IMPORTRANGE(""https://docs.google.com/spreadsheets/d/11923uPwbBZFjjGgGUA6NLw09EwE0CqkOc4q9oUmW1yo/edit?usp=sharing"",""ลำพูน!J567"")"),0)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IFERROR(__xludf.DUMMYFUNCTION("IMPORTRANGE(""https://docs.google.com/spreadsheets/d/11923uPwbBZFjjGgGUA6NLw09EwE0CqkOc4q9oUmW1yo/edit?usp=sharing"",""ลำพูน!J568"")"),0)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IFERROR(__xludf.DUMMYFUNCTION("IMPORTRANGE(""https://docs.google.com/spreadsheets/d/11923uPwbBZFjjGgGUA6NLw09EwE0CqkOc4q9oUmW1yo/edit?usp=sharing"",""ลำพูน!J569"")"),0)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IFERROR(__xludf.DUMMYFUNCTION("IMPORTRANGE(""https://docs.google.com/spreadsheets/d/11923uPwbBZFjjGgGUA6NLw09EwE0CqkOc4q9oUmW1yo/edit?usp=sharing"",""ลำพูน!J570"")"),0)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IFERROR(__xludf.DUMMYFUNCTION("IMPORTRANGE(""https://docs.google.com/spreadsheets/d/11923uPwbBZFjjGgGUA6NLw09EwE0CqkOc4q9oUmW1yo/edit?usp=sharing"",""ลำพูน!J571"")"),0)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IFERROR(__xludf.DUMMYFUNCTION("IMPORTRANGE(""https://docs.google.com/spreadsheets/d/11923uPwbBZFjjGgGUA6NLw09EwE0CqkOc4q9oUmW1yo/edit?usp=sharing"",""ลำพูน!J572"")"),0)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288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5477348</v>
      </c>
      <c r="M8" s="23">
        <f t="shared" ca="1" si="0"/>
        <v>3110693</v>
      </c>
      <c r="N8" s="23">
        <f t="shared" ca="1" si="0"/>
        <v>3637656.0599999996</v>
      </c>
      <c r="O8" s="22">
        <f t="shared" ref="O8:O16" ca="1" si="1">IF(L8&gt;0,N8*100/L8,0)</f>
        <v>66.412724917240965</v>
      </c>
      <c r="P8" s="22">
        <f t="shared" ref="P8:P16" ca="1" si="2">IF(M8&gt;0,N8*100/M8,0)</f>
        <v>116.94037502254319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5477348</v>
      </c>
      <c r="M10" s="30">
        <f t="shared" ca="1" si="4"/>
        <v>3110693</v>
      </c>
      <c r="N10" s="30">
        <f t="shared" ca="1" si="4"/>
        <v>3637656.0599999996</v>
      </c>
      <c r="O10" s="29">
        <f t="shared" ca="1" si="1"/>
        <v>66.412724917240965</v>
      </c>
      <c r="P10" s="29">
        <f t="shared" ca="1" si="2"/>
        <v>116.94037502254319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5301348</v>
      </c>
      <c r="M12" s="39">
        <f t="shared" ca="1" si="6"/>
        <v>2934693</v>
      </c>
      <c r="N12" s="39">
        <f t="shared" ca="1" si="6"/>
        <v>3461656.0599999996</v>
      </c>
      <c r="O12" s="39">
        <f t="shared" ca="1" si="1"/>
        <v>65.297657501450558</v>
      </c>
      <c r="P12" s="39">
        <f t="shared" ca="1" si="2"/>
        <v>117.95632660724647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3248248</v>
      </c>
      <c r="M14" s="39">
        <f t="shared" si="8"/>
        <v>0</v>
      </c>
      <c r="N14" s="39">
        <f t="shared" ca="1" si="8"/>
        <v>1116561.8</v>
      </c>
      <c r="O14" s="39">
        <f t="shared" ca="1" si="1"/>
        <v>34.374278072363936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3110693</v>
      </c>
      <c r="N18" s="23">
        <f t="shared" ca="1" si="11"/>
        <v>2521094.2599999998</v>
      </c>
      <c r="O18" s="22">
        <f t="shared" ref="O18:O20" ca="1" si="12">IF(L18&gt;0,N18*100/L18,0)</f>
        <v>72.562734773116802</v>
      </c>
      <c r="P18" s="22">
        <f t="shared" ref="P18:P26" ca="1" si="13">IF(M18&gt;0,N18*100/M18,0)</f>
        <v>81.046064655046308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3110693</v>
      </c>
      <c r="N20" s="30">
        <f t="shared" ca="1" si="15"/>
        <v>2521094.2599999998</v>
      </c>
      <c r="O20" s="29">
        <f t="shared" ca="1" si="12"/>
        <v>72.562734773116802</v>
      </c>
      <c r="P20" s="29">
        <f t="shared" ca="1" si="13"/>
        <v>81.046064655046308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3298365</v>
      </c>
      <c r="M22" s="42">
        <f t="shared" ca="1" si="18"/>
        <v>2934693</v>
      </c>
      <c r="N22" s="39">
        <f t="shared" ca="1" si="18"/>
        <v>2345094.2599999998</v>
      </c>
      <c r="O22" s="39">
        <f t="shared" ca="1" si="17"/>
        <v>71.098688592681512</v>
      </c>
      <c r="P22" s="39">
        <f t="shared" ca="1" si="13"/>
        <v>79.909355424911553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1245265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2002983</v>
      </c>
      <c r="M28" s="23">
        <f t="shared" si="23"/>
        <v>0</v>
      </c>
      <c r="N28" s="23">
        <f t="shared" ca="1" si="23"/>
        <v>1116561.8</v>
      </c>
      <c r="O28" s="22">
        <f t="shared" ref="O28:O30" ca="1" si="24">IF(L28&gt;0,N28*100/L28,0)</f>
        <v>55.744946412425868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2002983</v>
      </c>
      <c r="M30" s="30">
        <f t="shared" si="27"/>
        <v>0</v>
      </c>
      <c r="N30" s="30">
        <f t="shared" ca="1" si="27"/>
        <v>1116561.8</v>
      </c>
      <c r="O30" s="29">
        <f t="shared" ca="1" si="24"/>
        <v>55.744946412425868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2002983</v>
      </c>
      <c r="M32" s="39">
        <f t="shared" si="30"/>
        <v>0</v>
      </c>
      <c r="N32" s="39">
        <f t="shared" ca="1" si="30"/>
        <v>1116561.8</v>
      </c>
      <c r="O32" s="39">
        <f t="shared" ca="1" si="29"/>
        <v>55.744946412425868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2002983</v>
      </c>
      <c r="M34" s="39">
        <f t="shared" si="32"/>
        <v>0</v>
      </c>
      <c r="N34" s="39">
        <f t="shared" ca="1" si="32"/>
        <v>1116561.8</v>
      </c>
      <c r="O34" s="39">
        <f t="shared" ca="1" si="29"/>
        <v>55.744946412425868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3474365</v>
      </c>
      <c r="M37" s="55">
        <f t="shared" ca="1" si="33"/>
        <v>3110693</v>
      </c>
      <c r="N37" s="55">
        <f t="shared" ca="1" si="33"/>
        <v>2521094.2599999998</v>
      </c>
      <c r="O37" s="56">
        <f t="shared" ca="1" si="29"/>
        <v>72.562734773116802</v>
      </c>
      <c r="P37" s="56">
        <f t="shared" ca="1" si="25"/>
        <v>81.046064655046308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635320</v>
      </c>
      <c r="N41" s="79">
        <f t="shared" ca="1" si="34"/>
        <v>500215.68</v>
      </c>
      <c r="O41" s="78">
        <f t="shared" ref="O41:O43" ca="1" si="35">IF(L41&gt;0,N41*100/L41,0)</f>
        <v>64.369538025994075</v>
      </c>
      <c r="P41" s="78">
        <f t="shared" ref="P41:P43" ca="1" si="36">IF(M41&gt;0,N41*100/M41,0)</f>
        <v>78.73444563369641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635320</v>
      </c>
      <c r="N43" s="79">
        <f t="shared" ca="1" si="38"/>
        <v>500215.68</v>
      </c>
      <c r="O43" s="78">
        <f t="shared" ca="1" si="35"/>
        <v>64.369538025994075</v>
      </c>
      <c r="P43" s="78">
        <f t="shared" ca="1" si="36"/>
        <v>78.73444563369641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IFERROR(__xludf.DUMMYFUNCTION("IMPORTRANGE(""https://docs.google.com/spreadsheets/d/1Yj_ptqi66GCucihVvJfMjLAmec39IyEx_6qawtMGysU/edit?usp=sharing"",""สบก!Q34"")"),609320)</f>
        <v>609320</v>
      </c>
      <c r="N45" s="50">
        <f ca="1">IFERROR(__xludf.DUMMYFUNCTION("IMPORTRANGE(""https://docs.google.com/spreadsheets/d/1Yj_ptqi66GCucihVvJfMjLAmec39IyEx_6qawtMGysU/edit?usp=sharing"",""สบก!R34"")"),474215.68)</f>
        <v>474215.67999999999</v>
      </c>
      <c r="O45" s="39">
        <f ca="1">IF(L45&gt;0,N45*100/L45,0)</f>
        <v>63.136157635467981</v>
      </c>
      <c r="P45" s="39">
        <f ca="1">IF(M45&gt;0,N45*100/M45,0)</f>
        <v>77.827033414297901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441863</v>
      </c>
      <c r="N53" s="121">
        <f t="shared" ca="1" si="39"/>
        <v>434052.84</v>
      </c>
      <c r="O53" s="120">
        <f t="shared" ref="O53:O55" ca="1" si="40">IF(L53&gt;0,N53*100/L53,0)</f>
        <v>96.456186666666667</v>
      </c>
      <c r="P53" s="120">
        <f t="shared" ref="P53:P55" ca="1" si="41">IF(M53&gt;0,N53*100/M53,0)</f>
        <v>98.232447613853168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441863</v>
      </c>
      <c r="N55" s="121">
        <f t="shared" ca="1" si="43"/>
        <v>434052.84</v>
      </c>
      <c r="O55" s="120">
        <f t="shared" ca="1" si="40"/>
        <v>96.456186666666667</v>
      </c>
      <c r="P55" s="120">
        <f t="shared" ca="1" si="41"/>
        <v>98.232447613853168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IFERROR(__xludf.DUMMYFUNCTION("IMPORTRANGE(""https://docs.google.com/spreadsheets/d/1Yj_ptqi66GCucihVvJfMjLAmec39IyEx_6qawtMGysU/edit?usp=sharing"",""สบก!Z34"")"),441863)</f>
        <v>441863</v>
      </c>
      <c r="N57" s="50">
        <f ca="1">IFERROR(__xludf.DUMMYFUNCTION("IMPORTRANGE(""https://docs.google.com/spreadsheets/d/1Yj_ptqi66GCucihVvJfMjLAmec39IyEx_6qawtMGysU/edit?usp=sharing"",""สบก!AA34"")"),434052.84)</f>
        <v>434052.84</v>
      </c>
      <c r="O57" s="39">
        <f ca="1">IF(L57&gt;0,N57*100/L57,0)</f>
        <v>96.456186666666667</v>
      </c>
      <c r="P57" s="39">
        <f ca="1">IF(M57&gt;0,N57*100/M57,0)</f>
        <v>98.232447613853168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876720</v>
      </c>
      <c r="N66" s="152">
        <f t="shared" ca="1" si="45"/>
        <v>791266.94</v>
      </c>
      <c r="O66" s="151">
        <f t="shared" ref="O66:O68" ca="1" si="46">IF(L66&gt;0,N66*100/L66,0)</f>
        <v>82.69930392976589</v>
      </c>
      <c r="P66" s="151">
        <f t="shared" ref="P66:P68" ca="1" si="47">IF(M66&gt;0,N66*100/M66,0)</f>
        <v>90.253095629163241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876720</v>
      </c>
      <c r="N68" s="88">
        <f t="shared" ca="1" si="49"/>
        <v>791266.94</v>
      </c>
      <c r="O68" s="156">
        <f t="shared" ca="1" si="46"/>
        <v>82.69930392976589</v>
      </c>
      <c r="P68" s="156">
        <f t="shared" ca="1" si="47"/>
        <v>90.253095629163241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IFERROR(__xludf.DUMMYFUNCTION("IMPORTRANGE(""https://docs.google.com/spreadsheets/d/1Yj_ptqi66GCucihVvJfMjLAmec39IyEx_6qawtMGysU/edit?usp=sharing"",""สบก!AI34"")"),726720)</f>
        <v>726720</v>
      </c>
      <c r="N70" s="168">
        <f ca="1">IFERROR(__xludf.DUMMYFUNCTION("IMPORTRANGE(""https://docs.google.com/spreadsheets/d/1Yj_ptqi66GCucihVvJfMjLAmec39IyEx_6qawtMGysU/edit?usp=sharing"",""สบก!AJ34"")"),641266.94)</f>
        <v>641266.93999999994</v>
      </c>
      <c r="O70" s="168">
        <f ca="1">IF(L70&gt;0,N70*100/L70,0)</f>
        <v>79.48276400594942</v>
      </c>
      <c r="P70" s="168">
        <f ca="1">IF(M70&gt;0,N70*100/M70,0)</f>
        <v>88.241267613386157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202440</v>
      </c>
      <c r="N118" s="152">
        <f t="shared" ca="1" si="58"/>
        <v>156040</v>
      </c>
      <c r="O118" s="151">
        <f t="shared" ref="O118:O120" ca="1" si="59">IF(L118&gt;0,N118*100/L118,0)</f>
        <v>189.27704997573994</v>
      </c>
      <c r="P118" s="151">
        <f t="shared" ref="P118:P120" ca="1" si="60">IF(M118&gt;0,N118*100/M118,0)</f>
        <v>77.079628531910686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202440</v>
      </c>
      <c r="N120" s="88">
        <f t="shared" ca="1" si="62"/>
        <v>156040</v>
      </c>
      <c r="O120" s="156">
        <f t="shared" ca="1" si="59"/>
        <v>189.27704997573994</v>
      </c>
      <c r="P120" s="156">
        <f t="shared" ca="1" si="60"/>
        <v>77.079628531910686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IFERROR(__xludf.DUMMYFUNCTION("IMPORTRANGE(""https://docs.google.com/spreadsheets/d/1Yj_ptqi66GCucihVvJfMjLAmec39IyEx_6qawtMGysU/edit?usp=sharing"",""สบก!BA34"")"),202440)</f>
        <v>202440</v>
      </c>
      <c r="N122" s="168">
        <f ca="1">IFERROR(__xludf.DUMMYFUNCTION("IMPORTRANGE(""https://docs.google.com/spreadsheets/d/1Yj_ptqi66GCucihVvJfMjLAmec39IyEx_6qawtMGysU/edit?usp=sharing"",""สบก!BB34"")"),156040)</f>
        <v>156040</v>
      </c>
      <c r="O122" s="168">
        <f ca="1">IF(L122&gt;0,N122*100/L122,0)</f>
        <v>189.27704997573994</v>
      </c>
      <c r="P122" s="168">
        <f ca="1">IF(M122&gt;0,N122*100/M122,0)</f>
        <v>77.079628531910686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117225</v>
      </c>
      <c r="N140" s="152">
        <f t="shared" ca="1" si="64"/>
        <v>53190</v>
      </c>
      <c r="O140" s="151">
        <f t="shared" ref="O140:O142" ca="1" si="65">IF(L140&gt;0,N140*100/L140,0)</f>
        <v>64.084337349397586</v>
      </c>
      <c r="P140" s="151">
        <f t="shared" ref="P140:P142" ca="1" si="66">IF(M140&gt;0,N140*100/M140,0)</f>
        <v>45.374280230326299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83000</v>
      </c>
      <c r="M142" s="88">
        <f t="shared" ca="1" si="68"/>
        <v>117225</v>
      </c>
      <c r="N142" s="88">
        <f t="shared" ca="1" si="68"/>
        <v>53190</v>
      </c>
      <c r="O142" s="156">
        <f t="shared" ca="1" si="65"/>
        <v>64.084337349397586</v>
      </c>
      <c r="P142" s="156">
        <f t="shared" ca="1" si="66"/>
        <v>45.374280230326299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IFERROR(__xludf.DUMMYFUNCTION("IMPORTRANGE(""https://docs.google.com/spreadsheets/d/1Yj_ptqi66GCucihVvJfMjLAmec39IyEx_6qawtMGysU/edit?usp=sharing"",""สบก!BJ34"")"),117225)</f>
        <v>117225</v>
      </c>
      <c r="N144" s="168">
        <f ca="1">IFERROR(__xludf.DUMMYFUNCTION("IMPORTRANGE(""https://docs.google.com/spreadsheets/d/1Yj_ptqi66GCucihVvJfMjLAmec39IyEx_6qawtMGysU/edit?usp=sharing"",""สบก!BK34"")"),53190)</f>
        <v>53190</v>
      </c>
      <c r="O144" s="168">
        <f ca="1">IF(L144&gt;0,N144*100/L144,0)</f>
        <v>64.084337349397586</v>
      </c>
      <c r="P144" s="168">
        <f ca="1">IF(M144&gt;0,N144*100/M144,0)</f>
        <v>45.374280230326299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17775</v>
      </c>
      <c r="O220" s="151">
        <f t="shared" ref="O220:O222" ca="1" si="73">IF(L220&gt;0,N220*100/L220,0)</f>
        <v>92.122311479657938</v>
      </c>
      <c r="P220" s="151">
        <f t="shared" ref="P220:P222" ca="1" si="74">IF(M220&gt;0,N220*100/M220,0)</f>
        <v>92.122311479657938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17775</v>
      </c>
      <c r="O222" s="156">
        <f t="shared" ca="1" si="73"/>
        <v>92.122311479657938</v>
      </c>
      <c r="P222" s="156">
        <f t="shared" ca="1" si="74"/>
        <v>92.122311479657938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IFERROR(__xludf.DUMMYFUNCTION("IMPORTRANGE(""https://docs.google.com/spreadsheets/d/1Yj_ptqi66GCucihVvJfMjLAmec39IyEx_6qawtMGysU/edit?usp=sharing"",""สบก!BT34"")"),17775)</f>
        <v>17775</v>
      </c>
      <c r="O224" s="168">
        <f ca="1">IF(L224&gt;0,N224*100/L224,0)</f>
        <v>92.122311479657938</v>
      </c>
      <c r="P224" s="168">
        <f ca="1">IF(M224&gt;0,N224*100/M224,0)</f>
        <v>92.122311479657938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179000</v>
      </c>
      <c r="N271" s="152">
        <f t="shared" ca="1" si="83"/>
        <v>122115.48</v>
      </c>
      <c r="O271" s="151">
        <f t="shared" ref="O271:O273" ca="1" si="84">IF(L271&gt;0,N271*100/L271,0)</f>
        <v>51.373782078249896</v>
      </c>
      <c r="P271" s="151">
        <f t="shared" ref="P271:P273" ca="1" si="85">IF(M271&gt;0,N271*100/M271,0)</f>
        <v>68.220938547486028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179000</v>
      </c>
      <c r="N273" s="88">
        <f t="shared" ca="1" si="87"/>
        <v>122115.48</v>
      </c>
      <c r="O273" s="156">
        <f t="shared" ca="1" si="84"/>
        <v>51.373782078249896</v>
      </c>
      <c r="P273" s="156">
        <f t="shared" ca="1" si="85"/>
        <v>68.220938547486028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IFERROR(__xludf.DUMMYFUNCTION("IMPORTRANGE(""https://docs.google.com/spreadsheets/d/1Yj_ptqi66GCucihVvJfMjLAmec39IyEx_6qawtMGysU/edit?usp=sharing"",""สบก!CK34"")"),179000)</f>
        <v>179000</v>
      </c>
      <c r="N275" s="168">
        <f ca="1">IFERROR(__xludf.DUMMYFUNCTION("IMPORTRANGE(""https://docs.google.com/spreadsheets/d/1Yj_ptqi66GCucihVvJfMjLAmec39IyEx_6qawtMGysU/edit?usp=sharing"",""สบก!CL34"")"),122115.48)</f>
        <v>122115.48</v>
      </c>
      <c r="O275" s="168">
        <f ca="1">IF(L275&gt;0,N275*100/L275,0)</f>
        <v>51.373782078249896</v>
      </c>
      <c r="P275" s="168">
        <f ca="1">IF(M275&gt;0,N275*100/M275,0)</f>
        <v>68.220938547486028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IFERROR(__xludf.DUMMYFUNCTION("IMPORTRANGE(""https://docs.google.com/spreadsheets/d/11923uPwbBZFjjGgGUA6NLw09EwE0CqkOc4q9oUmW1yo/edit?usp=sharing"",""สุโขทัย!J228"")"),147)</f>
        <v>147</v>
      </c>
      <c r="K328" s="317">
        <f ca="1">IF(I328&gt;0,J328*100/I328,0)</f>
        <v>54.444444444444443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638830</v>
      </c>
      <c r="N329" s="152">
        <f t="shared" ca="1" si="98"/>
        <v>446438.32</v>
      </c>
      <c r="O329" s="151">
        <f t="shared" ref="O329:O331" ca="1" si="99">IF(L329&gt;0,N329*100/L329,0)</f>
        <v>51.431208598781147</v>
      </c>
      <c r="P329" s="151">
        <f t="shared" ref="P329:P331" ca="1" si="100">IF(M329&gt;0,N329*100/M329,0)</f>
        <v>69.883743718986267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638830</v>
      </c>
      <c r="N331" s="88">
        <f t="shared" ca="1" si="102"/>
        <v>446438.32</v>
      </c>
      <c r="O331" s="156">
        <f t="shared" ca="1" si="99"/>
        <v>51.431208598781147</v>
      </c>
      <c r="P331" s="156">
        <f t="shared" ca="1" si="100"/>
        <v>69.883743718986267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IFERROR(__xludf.DUMMYFUNCTION("IMPORTRANGE(""https://docs.google.com/spreadsheets/d/1Yj_ptqi66GCucihVvJfMjLAmec39IyEx_6qawtMGysU/edit?usp=sharing"",""สบก!DL34"")"),638830)</f>
        <v>638830</v>
      </c>
      <c r="N333" s="168">
        <f ca="1">IFERROR(__xludf.DUMMYFUNCTION("IMPORTRANGE(""https://docs.google.com/spreadsheets/d/1Yj_ptqi66GCucihVvJfMjLAmec39IyEx_6qawtMGysU/edit?usp=sharing"",""สบก!DM34"")"),446438.32)</f>
        <v>446438.32</v>
      </c>
      <c r="O333" s="168">
        <f ca="1">IF(L333&gt;0,N333*100/L333,0)</f>
        <v>51.431208598781147</v>
      </c>
      <c r="P333" s="168">
        <f ca="1">IF(M333&gt;0,N333*100/M333,0)</f>
        <v>69.883743718986267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IFERROR(__xludf.DUMMYFUNCTION("IMPORTRANGE(""https://docs.google.com/spreadsheets/d/11923uPwbBZFjjGgGUA6NLw09EwE0CqkOc4q9oUmW1yo/edit?usp=sharing"",""สุโขทัย!J234"")"),109)</f>
        <v>109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IFERROR(__xludf.DUMMYFUNCTION("IMPORTRANGE(""https://docs.google.com/spreadsheets/d/11923uPwbBZFjjGgGUA6NLw09EwE0CqkOc4q9oUmW1yo/edit?usp=sharing"",""สุโขทัย!J235"")"),970.379999999999)</f>
        <v>970.37999999999897</v>
      </c>
      <c r="K340" s="342">
        <f t="shared" ca="1" si="103"/>
        <v>67.387499999999932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IFERROR(__xludf.DUMMYFUNCTION("IMPORTRANGE(""https://docs.google.com/spreadsheets/d/11923uPwbBZFjjGgGUA6NLw09EwE0CqkOc4q9oUmW1yo/edit?usp=sharing"",""สุโขทัย!J236"")"),221)</f>
        <v>221</v>
      </c>
      <c r="K341" s="342">
        <f t="shared" ca="1" si="103"/>
        <v>81.851851851851848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IFERROR(__xludf.DUMMYFUNCTION("IMPORTRANGE(""https://docs.google.com/spreadsheets/d/11923uPwbBZFjjGgGUA6NLw09EwE0CqkOc4q9oUmW1yo/edit?usp=sharing"",""สุโขทัย!J237"")"),2620.79)</f>
        <v>2620.79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IFERROR(__xludf.DUMMYFUNCTION("IMPORTRANGE(""https://docs.google.com/spreadsheets/d/11923uPwbBZFjjGgGUA6NLw09EwE0CqkOc4q9oUmW1yo/edit?usp=sharing"",""สุโขทัย!J240"")"),147)</f>
        <v>147</v>
      </c>
      <c r="K345" s="342">
        <f t="shared" ca="1" si="103"/>
        <v>54.444444444444443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IFERROR(__xludf.DUMMYFUNCTION("IMPORTRANGE(""https://docs.google.com/spreadsheets/d/11923uPwbBZFjjGgGUA6NLw09EwE0CqkOc4q9oUmW1yo/edit?usp=sharing"",""สุโขทัย!J241"")"),1998.97)</f>
        <v>1998.97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IFERROR(__xludf.DUMMYFUNCTION("IMPORTRANGE(""https://docs.google.com/spreadsheets/d/11923uPwbBZFjjGgGUA6NLw09EwE0CqkOc4q9oUmW1yo/edit?usp=sharing"",""สุโขทัย!L242"")"),2002983)</f>
        <v>2002983</v>
      </c>
      <c r="M347" s="357"/>
      <c r="N347" s="357">
        <f ca="1">IFERROR(__xludf.DUMMYFUNCTION("IMPORTRANGE(""https://docs.google.com/spreadsheets/d/11923uPwbBZFjjGgGUA6NLw09EwE0CqkOc4q9oUmW1yo/edit?usp=sharing"",""สุโขทัย!M242"")"),1116561.8)</f>
        <v>1116561.8</v>
      </c>
      <c r="O347" s="357">
        <f ca="1">+IF(L347&gt;0,N347*100/L347,0)</f>
        <v>55.744946412425868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IFERROR(__xludf.DUMMYFUNCTION("IMPORTRANGE(""https://docs.google.com/spreadsheets/d/11923uPwbBZFjjGgGUA6NLw09EwE0CqkOc4q9oUmW1yo/edit?usp=sharing"",""สุโขทัย!M244"")"),256036.13)</f>
        <v>256036.13</v>
      </c>
      <c r="O349" s="372">
        <f ca="1">+IF(L349&gt;0,N349*100/L349,0)</f>
        <v>69.74940884820748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IFERROR(__xludf.DUMMYFUNCTION("IMPORTRANGE(""https://docs.google.com/spreadsheets/d/11923uPwbBZFjjGgGUA6NLw09EwE0CqkOc4q9oUmW1yo/edit?usp=sharing"",""สุโขทัย!M247"")"),256036.13)</f>
        <v>256036.13</v>
      </c>
      <c r="O352" s="165">
        <f t="shared" ca="1" si="105"/>
        <v>69.74940884820748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IFERROR(__xludf.DUMMYFUNCTION("IMPORTRANGE(""https://docs.google.com/spreadsheets/d/11923uPwbBZFjjGgGUA6NLw09EwE0CqkOc4q9oUmW1yo/edit?usp=sharing"",""สุโขทัย!M249"")"),256036.13)</f>
        <v>256036.13</v>
      </c>
      <c r="O354" s="168">
        <f t="shared" ca="1" si="105"/>
        <v>69.74940884820748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IFERROR(__xludf.DUMMYFUNCTION("IMPORTRANGE(""https://docs.google.com/spreadsheets/d/11923uPwbBZFjjGgGUA6NLw09EwE0CqkOc4q9oUmW1yo/edit?usp=sharing"",""สุโขทัย!M252"")"),63516.13)</f>
        <v>63516.13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IFERROR(__xludf.DUMMYFUNCTION("IMPORTRANGE(""https://docs.google.com/spreadsheets/d/11923uPwbBZFjjGgGUA6NLw09EwE0CqkOc4q9oUmW1yo/edit?usp=sharing"",""สุโขทัย!M253"")"),96520)</f>
        <v>96520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IFERROR(__xludf.DUMMYFUNCTION("IMPORTRANGE(""https://docs.google.com/spreadsheets/d/11923uPwbBZFjjGgGUA6NLw09EwE0CqkOc4q9oUmW1yo/edit?usp=sharing"",""สุโขทัย!M275"")"),65000)</f>
        <v>65000</v>
      </c>
      <c r="O380" s="372">
        <f ca="1">+IF(L380&gt;0,N380*100/L380,0)</f>
        <v>31.316245904798613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IFERROR(__xludf.DUMMYFUNCTION("IMPORTRANGE(""https://docs.google.com/spreadsheets/d/11923uPwbBZFjjGgGUA6NLw09EwE0CqkOc4q9oUmW1yo/edit?usp=sharing"",""สุโขทัย!M278"")"),65000)</f>
        <v>65000</v>
      </c>
      <c r="O383" s="165">
        <f t="shared" ca="1" si="109"/>
        <v>31.316245904798613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IFERROR(__xludf.DUMMYFUNCTION("IMPORTRANGE(""https://docs.google.com/spreadsheets/d/11923uPwbBZFjjGgGUA6NLw09EwE0CqkOc4q9oUmW1yo/edit?usp=sharing"",""สุโขทัย!M280"")"),65000)</f>
        <v>65000</v>
      </c>
      <c r="O385" s="168">
        <f t="shared" ca="1" si="109"/>
        <v>31.316245904798613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IFERROR(__xludf.DUMMYFUNCTION("IMPORTRANGE(""https://docs.google.com/spreadsheets/d/11923uPwbBZFjjGgGUA6NLw09EwE0CqkOc4q9oUmW1yo/edit?usp=sharing"",""สุโขทัย!M281"")"),59200)</f>
        <v>59200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IFERROR(__xludf.DUMMYFUNCTION("IMPORTRANGE(""https://docs.google.com/spreadsheets/d/11923uPwbBZFjjGgGUA6NLw09EwE0CqkOc4q9oUmW1yo/edit?usp=sharing"",""สุโขทัย!M284"")"),5800)</f>
        <v>5800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IFERROR(__xludf.DUMMYFUNCTION("IMPORTRANGE(""https://docs.google.com/spreadsheets/d/11923uPwbBZFjjGgGUA6NLw09EwE0CqkOc4q9oUmW1yo/edit?usp=sharing"",""สุโขทัย!M296"")"),262365)</f>
        <v>262365</v>
      </c>
      <c r="O401" s="372">
        <f ca="1">+IF(L401&gt;0,N401*100/L401,0)</f>
        <v>87.178933377637478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IFERROR(__xludf.DUMMYFUNCTION("IMPORTRANGE(""https://docs.google.com/spreadsheets/d/11923uPwbBZFjjGgGUA6NLw09EwE0CqkOc4q9oUmW1yo/edit?usp=sharing"",""สุโขทัย!M299"")"),262365)</f>
        <v>262365</v>
      </c>
      <c r="O404" s="168">
        <f t="shared" ca="1" si="112"/>
        <v>87.178933377637478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IFERROR(__xludf.DUMMYFUNCTION("IMPORTRANGE(""https://docs.google.com/spreadsheets/d/11923uPwbBZFjjGgGUA6NLw09EwE0CqkOc4q9oUmW1yo/edit?usp=sharing"",""สุโขทัย!M301"")"),262365)</f>
        <v>262365</v>
      </c>
      <c r="O406" s="168">
        <f t="shared" ca="1" si="112"/>
        <v>87.178933377637478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IFERROR(__xludf.DUMMYFUNCTION("IMPORTRANGE(""https://docs.google.com/spreadsheets/d/11923uPwbBZFjjGgGUA6NLw09EwE0CqkOc4q9oUmW1yo/edit?usp=sharing"",""สุโขทัย!M303"")"),51650)</f>
        <v>51650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IFERROR(__xludf.DUMMYFUNCTION("IMPORTRANGE(""https://docs.google.com/spreadsheets/d/11923uPwbBZFjjGgGUA6NLw09EwE0CqkOc4q9oUmW1yo/edit?usp=sharing"",""สุโขทัย!M305"")"),19770)</f>
        <v>19770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IFERROR(__xludf.DUMMYFUNCTION("IMPORTRANGE(""https://docs.google.com/spreadsheets/d/11923uPwbBZFjjGgGUA6NLw09EwE0CqkOc4q9oUmW1yo/edit?usp=sharing"",""สุโขทัย!J325"")"),75)</f>
        <v>75</v>
      </c>
      <c r="K430" s="201">
        <f t="shared" ca="1" si="113"/>
        <v>88.235294117647058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IFERROR(__xludf.DUMMYFUNCTION("IMPORTRANGE(""https://docs.google.com/spreadsheets/d/11923uPwbBZFjjGgGUA6NLw09EwE0CqkOc4q9oUmW1yo/edit?usp=sharing"",""สุโขทัย!M330"")"),178090)</f>
        <v>178090</v>
      </c>
      <c r="O435" s="411">
        <f t="shared" ref="O435:O439" ca="1" si="114">+IF(L435&gt;0,N435*100/L435,0)</f>
        <v>79.860986547085204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IFERROR(__xludf.DUMMYFUNCTION("IMPORTRANGE(""https://docs.google.com/spreadsheets/d/11923uPwbBZFjjGgGUA6NLw09EwE0CqkOc4q9oUmW1yo/edit?usp=sharing"",""สุโขทัย!M332"")"),178090)</f>
        <v>178090</v>
      </c>
      <c r="O437" s="168">
        <f t="shared" ca="1" si="114"/>
        <v>79.860986547085204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IFERROR(__xludf.DUMMYFUNCTION("IMPORTRANGE(""https://docs.google.com/spreadsheets/d/11923uPwbBZFjjGgGUA6NLw09EwE0CqkOc4q9oUmW1yo/edit?usp=sharing"",""สุโขทัย!M334"")"),178090)</f>
        <v>178090</v>
      </c>
      <c r="O439" s="168">
        <f t="shared" ca="1" si="114"/>
        <v>79.860986547085204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IFERROR(__xludf.DUMMYFUNCTION("IMPORTRANGE(""https://docs.google.com/spreadsheets/d/11923uPwbBZFjjGgGUA6NLw09EwE0CqkOc4q9oUmW1yo/edit?usp=sharing"",""สุโขทัย!M338"")"),10890)</f>
        <v>10890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IFERROR(__xludf.DUMMYFUNCTION("IMPORTRANGE(""https://docs.google.com/spreadsheets/d/11923uPwbBZFjjGgGUA6NLw09EwE0CqkOc4q9oUmW1yo/edit?usp=sharing"",""สุโขทัย!J350"")"),30832)</f>
        <v>30832</v>
      </c>
      <c r="K455" s="371">
        <f ca="1">IF(I455&gt;0,J455*100/I455,0)</f>
        <v>86.1204994273903</v>
      </c>
      <c r="L455" s="372">
        <f ca="1">IFERROR(__xludf.DUMMYFUNCTION("IMPORTRANGE(""https://docs.google.com/spreadsheets/d/11923uPwbBZFjjGgGUA6NLw09EwE0CqkOc4q9oUmW1yo/edit?usp=sharing"",""สุโขทัย!L350"")"),424323)</f>
        <v>424323</v>
      </c>
      <c r="M455" s="372"/>
      <c r="N455" s="372">
        <f ca="1">IFERROR(__xludf.DUMMYFUNCTION("IMPORTRANGE(""https://docs.google.com/spreadsheets/d/11923uPwbBZFjjGgGUA6NLw09EwE0CqkOc4q9oUmW1yo/edit?usp=sharing"",""สุโขทัย!M350"")"),235835.19)</f>
        <v>235835.19</v>
      </c>
      <c r="O455" s="372">
        <f t="shared" ref="O455:O459" ca="1" si="116">+IF(L455&gt;0,N455*100/L455,0)</f>
        <v>55.579167285299171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IFERROR(__xludf.DUMMYFUNCTION("IMPORTRANGE(""https://docs.google.com/spreadsheets/d/11923uPwbBZFjjGgGUA6NLw09EwE0CqkOc4q9oUmW1yo/edit?usp=sharing"",""สุโขทัย!L352"")"),424323)</f>
        <v>424323</v>
      </c>
      <c r="M457" s="165"/>
      <c r="N457" s="168">
        <f ca="1">IFERROR(__xludf.DUMMYFUNCTION("IMPORTRANGE(""https://docs.google.com/spreadsheets/d/11923uPwbBZFjjGgGUA6NLw09EwE0CqkOc4q9oUmW1yo/edit?usp=sharing"",""สุโขทัย!M352"")"),235835.19)</f>
        <v>235835.19</v>
      </c>
      <c r="O457" s="168">
        <f t="shared" ca="1" si="116"/>
        <v>55.579167285299171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IFERROR(__xludf.DUMMYFUNCTION("IMPORTRANGE(""https://docs.google.com/spreadsheets/d/11923uPwbBZFjjGgGUA6NLw09EwE0CqkOc4q9oUmW1yo/edit?usp=sharing"",""สุโขทัย!L354"")"),424323)</f>
        <v>424323</v>
      </c>
      <c r="M459" s="168"/>
      <c r="N459" s="168">
        <f ca="1">IFERROR(__xludf.DUMMYFUNCTION("IMPORTRANGE(""https://docs.google.com/spreadsheets/d/11923uPwbBZFjjGgGUA6NLw09EwE0CqkOc4q9oUmW1yo/edit?usp=sharing"",""สุโขทัย!M354"")"),235835.19)</f>
        <v>235835.19</v>
      </c>
      <c r="O459" s="168">
        <f t="shared" ca="1" si="116"/>
        <v>55.579167285299171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IFERROR(__xludf.DUMMYFUNCTION("IMPORTRANGE(""https://docs.google.com/spreadsheets/d/11923uPwbBZFjjGgGUA6NLw09EwE0CqkOc4q9oUmW1yo/edit?usp=sharing"",""สุโขทัย!M357"")"),64900)</f>
        <v>64900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IFERROR(__xludf.DUMMYFUNCTION("IMPORTRANGE(""https://docs.google.com/spreadsheets/d/11923uPwbBZFjjGgGUA6NLw09EwE0CqkOc4q9oUmW1yo/edit?usp=sharing"",""สุโขทัย!M358"")"),170935.19)</f>
        <v>170935.19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IFERROR(__xludf.DUMMYFUNCTION("IMPORTRANGE(""https://docs.google.com/spreadsheets/d/11923uPwbBZFjjGgGUA6NLw09EwE0CqkOc4q9oUmW1yo/edit?usp=sharing"",""สุโขทัย!J359"")"),30832)</f>
        <v>30832</v>
      </c>
      <c r="K464" s="268">
        <f t="shared" ref="K464:K515" ca="1" si="117">IF(I464&gt;0,J464*100/I464,0)</f>
        <v>86.1204994273903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IFERROR(__xludf.DUMMYFUNCTION("IMPORTRANGE(""https://docs.google.com/spreadsheets/d/11923uPwbBZFjjGgGUA6NLw09EwE0CqkOc4q9oUmW1yo/edit?usp=sharing"",""สุโขทัย!J376"")"),30832)</f>
        <v>30832</v>
      </c>
      <c r="K481" s="201">
        <f t="shared" ca="1" si="117"/>
        <v>86.1204994273903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IFERROR(__xludf.DUMMYFUNCTION("IMPORTRANGE(""https://docs.google.com/spreadsheets/d/11923uPwbBZFjjGgGUA6NLw09EwE0CqkOc4q9oUmW1yo/edit?usp=sharing"",""สุโขทัย!J377"")"),4045)</f>
        <v>4045</v>
      </c>
      <c r="K482" s="201">
        <f t="shared" ca="1" si="117"/>
        <v>88.357361293141111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IFERROR(__xludf.DUMMYFUNCTION("IMPORTRANGE(""https://docs.google.com/spreadsheets/d/11923uPwbBZFjjGgGUA6NLw09EwE0CqkOc4q9oUmW1yo/edit?usp=sharing"",""สุโขทัย!J392"")"),1328)</f>
        <v>1328</v>
      </c>
      <c r="K497" s="444">
        <f t="shared" ca="1" si="117"/>
        <v>71.745002701242569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IFERROR(__xludf.DUMMYFUNCTION("IMPORTRANGE(""https://docs.google.com/spreadsheets/d/11923uPwbBZFjjGgGUA6NLw09EwE0CqkOc4q9oUmW1yo/edit?usp=sharing"",""สุโขทัย!J393"")"),1328)</f>
        <v>1328</v>
      </c>
      <c r="K498" s="163">
        <f t="shared" ca="1" si="117"/>
        <v>71.745002701242569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IFERROR(__xludf.DUMMYFUNCTION("IMPORTRANGE(""https://docs.google.com/spreadsheets/d/11923uPwbBZFjjGgGUA6NLw09EwE0CqkOc4q9oUmW1yo/edit?usp=sharing"",""สุโขทัย!J394"")"),98)</f>
        <v>98</v>
      </c>
      <c r="K499" s="201">
        <f t="shared" ca="1" si="117"/>
        <v>71.014492753623188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IFERROR(__xludf.DUMMYFUNCTION("IMPORTRANGE(""https://docs.google.com/spreadsheets/d/11923uPwbBZFjjGgGUA6NLw09EwE0CqkOc4q9oUmW1yo/edit?usp=sharing"",""สุโขทัย!J395"")"),1190)</f>
        <v>1190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IFERROR(__xludf.DUMMYFUNCTION("IMPORTRANGE(""https://docs.google.com/spreadsheets/d/11923uPwbBZFjjGgGUA6NLw09EwE0CqkOc4q9oUmW1yo/edit?usp=sharing"",""สุโขทัย!J396"")"),89)</f>
        <v>89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IFERROR(__xludf.DUMMYFUNCTION("IMPORTRANGE(""https://docs.google.com/spreadsheets/d/11923uPwbBZFjjGgGUA6NLw09EwE0CqkOc4q9oUmW1yo/edit?usp=sharing"",""สุโขทัย!J397"")"),1145)</f>
        <v>1145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IFERROR(__xludf.DUMMYFUNCTION("IMPORTRANGE(""https://docs.google.com/spreadsheets/d/11923uPwbBZFjjGgGUA6NLw09EwE0CqkOc4q9oUmW1yo/edit?usp=sharing"",""สุโขทัย!J398"")"),84)</f>
        <v>84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IFERROR(__xludf.DUMMYFUNCTION("IMPORTRANGE(""https://docs.google.com/spreadsheets/d/11923uPwbBZFjjGgGUA6NLw09EwE0CqkOc4q9oUmW1yo/edit?usp=sharing"",""สุโขทัย!J399"")"),45)</f>
        <v>45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IFERROR(__xludf.DUMMYFUNCTION("IMPORTRANGE(""https://docs.google.com/spreadsheets/d/11923uPwbBZFjjGgGUA6NLw09EwE0CqkOc4q9oUmW1yo/edit?usp=sharing"",""สุโขทัย!J400"")"),5)</f>
        <v>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IFERROR(__xludf.DUMMYFUNCTION("IMPORTRANGE(""https://docs.google.com/spreadsheets/d/11923uPwbBZFjjGgGUA6NLw09EwE0CqkOc4q9oUmW1yo/edit?usp=sharing"",""สุโขทัย!J459"")"),5577)</f>
        <v>5577</v>
      </c>
      <c r="K564" s="371">
        <f ca="1">IF(I564&gt;0,J564*100/I564,0)</f>
        <v>265.57142857142856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IFERROR(__xludf.DUMMYFUNCTION("IMPORTRANGE(""https://docs.google.com/spreadsheets/d/11923uPwbBZFjjGgGUA6NLw09EwE0CqkOc4q9oUmW1yo/edit?usp=sharing"",""สุโขทัย!M459"")"),65255.48)</f>
        <v>65255.48</v>
      </c>
      <c r="O564" s="372">
        <f t="shared" ref="O564:O568" ca="1" si="122">+IF(L564&gt;0,N564*100/L564,0)</f>
        <v>45.877024746906635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IFERROR(__xludf.DUMMYFUNCTION("IMPORTRANGE(""https://docs.google.com/spreadsheets/d/11923uPwbBZFjjGgGUA6NLw09EwE0CqkOc4q9oUmW1yo/edit?usp=sharing"",""สุโขทัย!M461"")"),65255.48)</f>
        <v>65255.48</v>
      </c>
      <c r="O566" s="168">
        <f t="shared" ca="1" si="122"/>
        <v>45.877024746906635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IFERROR(__xludf.DUMMYFUNCTION("IMPORTRANGE(""https://docs.google.com/spreadsheets/d/11923uPwbBZFjjGgGUA6NLw09EwE0CqkOc4q9oUmW1yo/edit?usp=sharing"",""สุโขทัย!M463"")"),65255.48)</f>
        <v>65255.48</v>
      </c>
      <c r="O568" s="168">
        <f t="shared" ca="1" si="122"/>
        <v>45.877024746906635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IFERROR(__xludf.DUMMYFUNCTION("IMPORTRANGE(""https://docs.google.com/spreadsheets/d/11923uPwbBZFjjGgGUA6NLw09EwE0CqkOc4q9oUmW1yo/edit?usp=sharing"",""สุโขทัย!M466"")"),42935.48)</f>
        <v>42935.48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IFERROR(__xludf.DUMMYFUNCTION("IMPORTRANGE(""https://docs.google.com/spreadsheets/d/11923uPwbBZFjjGgGUA6NLw09EwE0CqkOc4q9oUmW1yo/edit?usp=sharing"",""สุโขทัย!M467"")"),22320)</f>
        <v>22320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IFERROR(__xludf.DUMMYFUNCTION("IMPORTRANGE(""https://docs.google.com/spreadsheets/d/11923uPwbBZFjjGgGUA6NLw09EwE0CqkOc4q9oUmW1yo/edit?usp=sharing"",""สุโขทัย!J468"")"),5577)</f>
        <v>5577</v>
      </c>
      <c r="K573" s="201">
        <f ca="1">IF(I573&gt;0,J573*100/I573,0)</f>
        <v>265.57142857142856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IFERROR(__xludf.DUMMYFUNCTION("IMPORTRANGE(""https://docs.google.com/spreadsheets/d/11923uPwbBZFjjGgGUA6NLw09EwE0CqkOc4q9oUmW1yo/edit?usp=sharing"",""สุโขทัย!J472"")"),5141)</f>
        <v>5141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IFERROR(__xludf.DUMMYFUNCTION("IMPORTRANGE(""https://docs.google.com/spreadsheets/d/11923uPwbBZFjjGgGUA6NLw09EwE0CqkOc4q9oUmW1yo/edit?usp=sharing"",""สุโขทัย!J475"")"),1)</f>
        <v>1</v>
      </c>
      <c r="K580" s="371">
        <f ca="1">IF(I580&gt;0,J580*100/I580,0)</f>
        <v>1.1111111111111112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IFERROR(__xludf.DUMMYFUNCTION("IMPORTRANGE(""https://docs.google.com/spreadsheets/d/11923uPwbBZFjjGgGUA6NLw09EwE0CqkOc4q9oUmW1yo/edit?usp=sharing"",""สุโขทัย!M475"")"),35240)</f>
        <v>35240</v>
      </c>
      <c r="O580" s="372">
        <f t="shared" ref="O580:O584" ca="1" si="124">+IF(L580&gt;0,N580*100/L580,0)</f>
        <v>11.897768324386373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IFERROR(__xludf.DUMMYFUNCTION("IMPORTRANGE(""https://docs.google.com/spreadsheets/d/11923uPwbBZFjjGgGUA6NLw09EwE0CqkOc4q9oUmW1yo/edit?usp=sharing"",""สุโขทัย!M477"")"),35240)</f>
        <v>35240</v>
      </c>
      <c r="O582" s="168">
        <f t="shared" ca="1" si="124"/>
        <v>11.897768324386373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IFERROR(__xludf.DUMMYFUNCTION("IMPORTRANGE(""https://docs.google.com/spreadsheets/d/11923uPwbBZFjjGgGUA6NLw09EwE0CqkOc4q9oUmW1yo/edit?usp=sharing"",""สุโขทัย!M479"")"),35240)</f>
        <v>35240</v>
      </c>
      <c r="O584" s="168">
        <f t="shared" ca="1" si="124"/>
        <v>11.897768324386373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IFERROR(__xludf.DUMMYFUNCTION("IMPORTRANGE(""https://docs.google.com/spreadsheets/d/11923uPwbBZFjjGgGUA6NLw09EwE0CqkOc4q9oUmW1yo/edit?usp=sharing"",""สุโขทัย!M483"")"),35240)</f>
        <v>35240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IFERROR(__xludf.DUMMYFUNCTION("IMPORTRANGE(""https://docs.google.com/spreadsheets/d/11923uPwbBZFjjGgGUA6NLw09EwE0CqkOc4q9oUmW1yo/edit?usp=sharing"",""สุโขทัย!J484"")"),73)</f>
        <v>73</v>
      </c>
      <c r="K589" s="163">
        <f t="shared" ref="K589:K596" ca="1" si="125">IF(I589&gt;0,J589*100/I589,0)</f>
        <v>81.111111111111114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IFERROR(__xludf.DUMMYFUNCTION("IMPORTRANGE(""https://docs.google.com/spreadsheets/d/11923uPwbBZFjjGgGUA6NLw09EwE0CqkOc4q9oUmW1yo/edit?usp=sharing"",""สุโขทัย!J485"")"),86.11)</f>
        <v>86.11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IFERROR(__xludf.DUMMYFUNCTION("IMPORTRANGE(""https://docs.google.com/spreadsheets/d/11923uPwbBZFjjGgGUA6NLw09EwE0CqkOc4q9oUmW1yo/edit?usp=sharing"",""สุโขทัย!J486"")"),53)</f>
        <v>53</v>
      </c>
      <c r="K591" s="163">
        <f t="shared" ca="1" si="125"/>
        <v>58.888888888888886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IFERROR(__xludf.DUMMYFUNCTION("IMPORTRANGE(""https://docs.google.com/spreadsheets/d/11923uPwbBZFjjGgGUA6NLw09EwE0CqkOc4q9oUmW1yo/edit?usp=sharing"",""สุโขทัย!J487"")"),56.16)</f>
        <v>56.16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IFERROR(__xludf.DUMMYFUNCTION("IMPORTRANGE(""https://docs.google.com/spreadsheets/d/11923uPwbBZFjjGgGUA6NLw09EwE0CqkOc4q9oUmW1yo/edit?usp=sharing"",""สุโขทัย!J490"")"),1)</f>
        <v>1</v>
      </c>
      <c r="K595" s="163">
        <f t="shared" ca="1" si="125"/>
        <v>1.1111111111111112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IFERROR(__xludf.DUMMYFUNCTION("IMPORTRANGE(""https://docs.google.com/spreadsheets/d/11923uPwbBZFjjGgGUA6NLw09EwE0CqkOc4q9oUmW1yo/edit?usp=sharing"",""สุโขทัย!J491"")"),0.84)</f>
        <v>0.84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7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IFERROR(__xludf.DUMMYFUNCTION("IMPORTRANGE(""https://docs.google.com/spreadsheets/d/11923uPwbBZFjjGgGUA6NLw09EwE0CqkOc4q9oUmW1yo/edit?usp=sharing"",""สุโขทัย!M492"")"),0)</f>
        <v>0</v>
      </c>
      <c r="O597" s="411">
        <f t="shared" ref="O597:O601" ca="1" si="126">+IF(L597&gt;0,N597*100/L597,0)</f>
        <v>0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IFERROR(__xludf.DUMMYFUNCTION("IMPORTRANGE(""https://docs.google.com/spreadsheets/d/11923uPwbBZFjjGgGUA6NLw09EwE0CqkOc4q9oUmW1yo/edit?usp=sharing"",""สุโขทัย!J523"")"),3919657.11)</f>
        <v>3919657.11</v>
      </c>
      <c r="K628" s="342">
        <f t="shared" ref="K628:K635" ca="1" si="129">IF(I628&gt;0,J628*100/I628,0)</f>
        <v>63.971099396035186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IFERROR(__xludf.DUMMYFUNCTION("IMPORTRANGE(""https://docs.google.com/spreadsheets/d/11923uPwbBZFjjGgGUA6NLw09EwE0CqkOc4q9oUmW1yo/edit?usp=sharing"",""สุโขทัย!J524"")"),288)</f>
        <v>288</v>
      </c>
      <c r="K629" s="342">
        <f t="shared" ca="1" si="129"/>
        <v>67.605633802816897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IFERROR(__xludf.DUMMYFUNCTION("IMPORTRANGE(""https://docs.google.com/spreadsheets/d/11923uPwbBZFjjGgGUA6NLw09EwE0CqkOc4q9oUmW1yo/edit?usp=sharing"",""สุโขทัย!J525"")"),1426247.53)</f>
        <v>1426247.53</v>
      </c>
      <c r="K630" s="342">
        <f t="shared" ca="1" si="129"/>
        <v>20.351439554952623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IFERROR(__xludf.DUMMYFUNCTION("IMPORTRANGE(""https://docs.google.com/spreadsheets/d/11923uPwbBZFjjGgGUA6NLw09EwE0CqkOc4q9oUmW1yo/edit?usp=sharing"",""สุโขทัย!J526"")"),206)</f>
        <v>206</v>
      </c>
      <c r="K631" s="342">
        <f t="shared" ca="1" si="129"/>
        <v>80.46875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IFERROR(__xludf.DUMMYFUNCTION("IMPORTRANGE(""https://docs.google.com/spreadsheets/d/11923uPwbBZFjjGgGUA6NLw09EwE0CqkOc4q9oUmW1yo/edit?usp=sharing"",""สุโขทัย!J527"")"),683428.12)</f>
        <v>683428.12</v>
      </c>
      <c r="K632" s="342">
        <f t="shared" ca="1" si="129"/>
        <v>25.654110194614379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IFERROR(__xludf.DUMMYFUNCTION("IMPORTRANGE(""https://docs.google.com/spreadsheets/d/11923uPwbBZFjjGgGUA6NLw09EwE0CqkOc4q9oUmW1yo/edit?usp=sharing"",""สุโขทัย!J528"")"),98)</f>
        <v>98</v>
      </c>
      <c r="K633" s="342">
        <f t="shared" ca="1" si="129"/>
        <v>54.444444444444443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IFERROR(__xludf.DUMMYFUNCTION("IMPORTRANGE(""https://docs.google.com/spreadsheets/d/11923uPwbBZFjjGgGUA6NLw09EwE0CqkOc4q9oUmW1yo/edit?usp=sharing"",""สุโขทัย!J529"")"),2140000)</f>
        <v>2140000</v>
      </c>
      <c r="K634" s="342">
        <f t="shared" ca="1" si="129"/>
        <v>42.8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IFERROR(__xludf.DUMMYFUNCTION("IMPORTRANGE(""https://docs.google.com/spreadsheets/d/11923uPwbBZFjjGgGUA6NLw09EwE0CqkOc4q9oUmW1yo/edit?usp=sharing"",""สุโขทัย!I530"")"),114)</f>
        <v>114</v>
      </c>
      <c r="J635" s="504">
        <f ca="1">IFERROR(__xludf.DUMMYFUNCTION("IMPORTRANGE(""https://docs.google.com/spreadsheets/d/11923uPwbBZFjjGgGUA6NLw09EwE0CqkOc4q9oUmW1yo/edit?usp=sharing"",""สุโขทัย!J530"")"),44)</f>
        <v>44</v>
      </c>
      <c r="K635" s="486">
        <f t="shared" ca="1" si="129"/>
        <v>38.596491228070178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27095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27095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27095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IFERROR(__xludf.DUMMYFUNCTION("IMPORTRANGE(""https://docs.google.com/spreadsheets/d/11923uPwbBZFjjGgGUA6NLw09EwE0CqkOc4q9oUmW1yo/edit?usp=sharing"",""สุโขทัย!J541"")"),0)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IFERROR(__xludf.DUMMYFUNCTION("IMPORTRANGE(""https://docs.google.com/spreadsheets/d/11923uPwbBZFjjGgGUA6NLw09EwE0CqkOc4q9oUmW1yo/edit?usp=sharing"",""สุโขทัย!J542"")"),0)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IFERROR(__xludf.DUMMYFUNCTION("IMPORTRANGE(""https://docs.google.com/spreadsheets/d/11923uPwbBZFjjGgGUA6NLw09EwE0CqkOc4q9oUmW1yo/edit?usp=sharing"",""สุโขทัย!I543"")"),0)</f>
        <v>0</v>
      </c>
      <c r="J648" s="535">
        <f ca="1">IFERROR(__xludf.DUMMYFUNCTION("IMPORTRANGE(""https://docs.google.com/spreadsheets/d/11923uPwbBZFjjGgGUA6NLw09EwE0CqkOc4q9oUmW1yo/edit?usp=sharing"",""สุโขทัย!J543"")"),0)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IFERROR(__xludf.DUMMYFUNCTION("IMPORTRANGE(""https://docs.google.com/spreadsheets/d/11923uPwbBZFjjGgGUA6NLw09EwE0CqkOc4q9oUmW1yo/edit?usp=sharing"",""สุโขทัย!L543"")"),0)</f>
        <v>0</v>
      </c>
      <c r="M648" s="520"/>
      <c r="N648" s="537">
        <f ca="1">IFERROR(__xludf.DUMMYFUNCTION("IMPORTRANGE(""https://docs.google.com/spreadsheets/d/11923uPwbBZFjjGgGUA6NLw09EwE0CqkOc4q9oUmW1yo/edit?usp=sharing"",""สุโขทัย!M543"")"),0)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IFERROR(__xludf.DUMMYFUNCTION("IMPORTRANGE(""https://docs.google.com/spreadsheets/d/11923uPwbBZFjjGgGUA6NLw09EwE0CqkOc4q9oUmW1yo/edit?usp=sharing"",""สุโขทัย!I544"")"),0)</f>
        <v>0</v>
      </c>
      <c r="J649" s="535">
        <f ca="1">IFERROR(__xludf.DUMMYFUNCTION("IMPORTRANGE(""https://docs.google.com/spreadsheets/d/11923uPwbBZFjjGgGUA6NLw09EwE0CqkOc4q9oUmW1yo/edit?usp=sharing"",""สุโขทัย!J544"")"),0)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IFERROR(__xludf.DUMMYFUNCTION("IMPORTRANGE(""https://docs.google.com/spreadsheets/d/11923uPwbBZFjjGgGUA6NLw09EwE0CqkOc4q9oUmW1yo/edit?usp=sharing"",""สุโขทัย!L544"")"),0)</f>
        <v>0</v>
      </c>
      <c r="M649" s="520"/>
      <c r="N649" s="537">
        <f ca="1">IFERROR(__xludf.DUMMYFUNCTION("IMPORTRANGE(""https://docs.google.com/spreadsheets/d/11923uPwbBZFjjGgGUA6NLw09EwE0CqkOc4q9oUmW1yo/edit?usp=sharing"",""สุโขทัย!M544"")"),0)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IFERROR(__xludf.DUMMYFUNCTION("IMPORTRANGE(""https://docs.google.com/spreadsheets/d/11923uPwbBZFjjGgGUA6NLw09EwE0CqkOc4q9oUmW1yo/edit?usp=sharing"",""สุโขทัย!I545"")"),0)</f>
        <v>0</v>
      </c>
      <c r="J650" s="535">
        <f ca="1">IFERROR(__xludf.DUMMYFUNCTION("IMPORTRANGE(""https://docs.google.com/spreadsheets/d/11923uPwbBZFjjGgGUA6NLw09EwE0CqkOc4q9oUmW1yo/edit?usp=sharing"",""สุโขทัย!J545"")"),0)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IFERROR(__xludf.DUMMYFUNCTION("IMPORTRANGE(""https://docs.google.com/spreadsheets/d/11923uPwbBZFjjGgGUA6NLw09EwE0CqkOc4q9oUmW1yo/edit?usp=sharing"",""สุโขทัย!L545"")"),0)</f>
        <v>0</v>
      </c>
      <c r="M650" s="520"/>
      <c r="N650" s="537">
        <f ca="1">IFERROR(__xludf.DUMMYFUNCTION("IMPORTRANGE(""https://docs.google.com/spreadsheets/d/11923uPwbBZFjjGgGUA6NLw09EwE0CqkOc4q9oUmW1yo/edit?usp=sharing"",""สุโขทัย!M545"")"),0)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IFERROR(__xludf.DUMMYFUNCTION("IMPORTRANGE(""https://docs.google.com/spreadsheets/d/11923uPwbBZFjjGgGUA6NLw09EwE0CqkOc4q9oUmW1yo/edit?usp=sharing"",""สุโขทัย!I546"")"),719)</f>
        <v>719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IFERROR(__xludf.DUMMYFUNCTION("IMPORTRANGE(""https://docs.google.com/spreadsheets/d/11923uPwbBZFjjGgGUA6NLw09EwE0CqkOc4q9oUmW1yo/edit?usp=sharing"",""สุโขทัย!L546"")"),17975)</f>
        <v>17975</v>
      </c>
      <c r="M651" s="520"/>
      <c r="N651" s="537">
        <f ca="1">IFERROR(__xludf.DUMMYFUNCTION("IMPORTRANGE(""https://docs.google.com/spreadsheets/d/11923uPwbBZFjjGgGUA6NLw09EwE0CqkOc4q9oUmW1yo/edit?usp=sharing"",""สุโขทัย!M546"")"),0)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IFERROR(__xludf.DUMMYFUNCTION("IMPORTRANGE(""https://docs.google.com/spreadsheets/d/11923uPwbBZFjjGgGUA6NLw09EwE0CqkOc4q9oUmW1yo/edit?usp=sharing"",""สุโขทัย!J547"")"),0)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IFERROR(__xludf.DUMMYFUNCTION("IMPORTRANGE(""https://docs.google.com/spreadsheets/d/11923uPwbBZFjjGgGUA6NLw09EwE0CqkOc4q9oUmW1yo/edit?usp=sharing"",""สุโขทัย!J548"")"),0)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IFERROR(__xludf.DUMMYFUNCTION("IMPORTRANGE(""https://docs.google.com/spreadsheets/d/11923uPwbBZFjjGgGUA6NLw09EwE0CqkOc4q9oUmW1yo/edit?usp=sharing"",""สุโขทัย!J550"")"),0)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IFERROR(__xludf.DUMMYFUNCTION("IMPORTRANGE(""https://docs.google.com/spreadsheets/d/11923uPwbBZFjjGgGUA6NLw09EwE0CqkOc4q9oUmW1yo/edit?usp=sharing"",""สุโขทัย!J551"")"),0)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IFERROR(__xludf.DUMMYFUNCTION("IMPORTRANGE(""https://docs.google.com/spreadsheets/d/11923uPwbBZFjjGgGUA6NLw09EwE0CqkOc4q9oUmW1yo/edit?usp=sharing"",""สุโขทัย!J552"")"),0)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IFERROR(__xludf.DUMMYFUNCTION("IMPORTRANGE(""https://docs.google.com/spreadsheets/d/11923uPwbBZFjjGgGUA6NLw09EwE0CqkOc4q9oUmW1yo/edit?usp=sharing"",""สุโขทัย!J553"")"),0)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IFERROR(__xludf.DUMMYFUNCTION("IMPORTRANGE(""https://docs.google.com/spreadsheets/d/11923uPwbBZFjjGgGUA6NLw09EwE0CqkOc4q9oUmW1yo/edit?usp=sharing"",""สุโขทัย!J554"")"),0)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IFERROR(__xludf.DUMMYFUNCTION("IMPORTRANGE(""https://docs.google.com/spreadsheets/d/11923uPwbBZFjjGgGUA6NLw09EwE0CqkOc4q9oUmW1yo/edit?usp=sharing"",""สุโขทัย!J555"")"),0)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IFERROR(__xludf.DUMMYFUNCTION("IMPORTRANGE(""https://docs.google.com/spreadsheets/d/11923uPwbBZFjjGgGUA6NLw09EwE0CqkOc4q9oUmW1yo/edit?usp=sharing"",""สุโขทัย!J556"")"),0)</f>
        <v>0</v>
      </c>
      <c r="K661" s="536"/>
      <c r="L661" s="521">
        <f ca="1">IFERROR(__xludf.DUMMYFUNCTION("IMPORTRANGE(""https://docs.google.com/spreadsheets/d/11923uPwbBZFjjGgGUA6NLw09EwE0CqkOc4q9oUmW1yo/edit?usp=sharing"",""สุโขทัย!L556"")"),9120)</f>
        <v>9120</v>
      </c>
      <c r="M661" s="520"/>
      <c r="N661" s="537">
        <f ca="1">IFERROR(__xludf.DUMMYFUNCTION("IMPORTRANGE(""https://docs.google.com/spreadsheets/d/11923uPwbBZFjjGgGUA6NLw09EwE0CqkOc4q9oUmW1yo/edit?usp=sharing"",""สุโขทัย!M556"")"),0)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IFERROR(__xludf.DUMMYFUNCTION("IMPORTRANGE(""https://docs.google.com/spreadsheets/d/11923uPwbBZFjjGgGUA6NLw09EwE0CqkOc4q9oUmW1yo/edit?usp=sharing"",""สุโขทัย!J557"")"),0)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IFERROR(__xludf.DUMMYFUNCTION("IMPORTRANGE(""https://docs.google.com/spreadsheets/d/11923uPwbBZFjjGgGUA6NLw09EwE0CqkOc4q9oUmW1yo/edit?usp=sharing"",""สุโขทัย!I558"")"),228)</f>
        <v>228</v>
      </c>
      <c r="J663" s="535">
        <f ca="1">IFERROR(__xludf.DUMMYFUNCTION("IMPORTRANGE(""https://docs.google.com/spreadsheets/d/11923uPwbBZFjjGgGUA6NLw09EwE0CqkOc4q9oUmW1yo/edit?usp=sharing"",""สุโขทัย!J558"")"),0)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IFERROR(__xludf.DUMMYFUNCTION("IMPORTRANGE(""https://docs.google.com/spreadsheets/d/11923uPwbBZFjjGgGUA6NLw09EwE0CqkOc4q9oUmW1yo/edit?usp=sharing"",""สุโขทัย!I560"")"),0)</f>
        <v>0</v>
      </c>
      <c r="J665" s="535">
        <f ca="1">IFERROR(__xludf.DUMMYFUNCTION("IMPORTRANGE(""https://docs.google.com/spreadsheets/d/11923uPwbBZFjjGgGUA6NLw09EwE0CqkOc4q9oUmW1yo/edit?usp=sharing"",""สุโขทัย!J560"")"),0)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IFERROR(__xludf.DUMMYFUNCTION("IMPORTRANGE(""https://docs.google.com/spreadsheets/d/11923uPwbBZFjjGgGUA6NLw09EwE0CqkOc4q9oUmW1yo/edit?usp=sharing"",""สุโขทัย!L560"")"),0)</f>
        <v>0</v>
      </c>
      <c r="M665" s="520"/>
      <c r="N665" s="537">
        <f ca="1">IFERROR(__xludf.DUMMYFUNCTION("IMPORTRANGE(""https://docs.google.com/spreadsheets/d/11923uPwbBZFjjGgGUA6NLw09EwE0CqkOc4q9oUmW1yo/edit?usp=sharing"",""สุโขทัย!M560"")"),0)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IFERROR(__xludf.DUMMYFUNCTION("IMPORTRANGE(""https://docs.google.com/spreadsheets/d/11923uPwbBZFjjGgGUA6NLw09EwE0CqkOc4q9oUmW1yo/edit?usp=sharing"",""สุโขทัย!J561"")"),0)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IFERROR(__xludf.DUMMYFUNCTION("IMPORTRANGE(""https://docs.google.com/spreadsheets/d/11923uPwbBZFjjGgGUA6NLw09EwE0CqkOc4q9oUmW1yo/edit?usp=sharing"",""สุโขทัย!J562"")"),0)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IFERROR(__xludf.DUMMYFUNCTION("IMPORTRANGE(""https://docs.google.com/spreadsheets/d/11923uPwbBZFjjGgGUA6NLw09EwE0CqkOc4q9oUmW1yo/edit?usp=sharing"",""สุโขทัย!I563"")"),0)</f>
        <v>0</v>
      </c>
      <c r="J668" s="535">
        <f ca="1">IFERROR(__xludf.DUMMYFUNCTION("IMPORTRANGE(""https://docs.google.com/spreadsheets/d/11923uPwbBZFjjGgGUA6NLw09EwE0CqkOc4q9oUmW1yo/edit?usp=sharing"",""สุโขทัย!J563"")"),0)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IFERROR(__xludf.DUMMYFUNCTION("IMPORTRANGE(""https://docs.google.com/spreadsheets/d/11923uPwbBZFjjGgGUA6NLw09EwE0CqkOc4q9oUmW1yo/edit?usp=sharing"",""สุโขทัย!L563"")"),0)</f>
        <v>0</v>
      </c>
      <c r="M668" s="520"/>
      <c r="N668" s="537">
        <f ca="1">IFERROR(__xludf.DUMMYFUNCTION("IMPORTRANGE(""https://docs.google.com/spreadsheets/d/11923uPwbBZFjjGgGUA6NLw09EwE0CqkOc4q9oUmW1yo/edit?usp=sharing"",""สุโขทัย!M563"")"),0)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IFERROR(__xludf.DUMMYFUNCTION("IMPORTRANGE(""https://docs.google.com/spreadsheets/d/11923uPwbBZFjjGgGUA6NLw09EwE0CqkOc4q9oUmW1yo/edit?usp=sharing"",""สุโขทัย!J564"")"),0)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IFERROR(__xludf.DUMMYFUNCTION("IMPORTRANGE(""https://docs.google.com/spreadsheets/d/11923uPwbBZFjjGgGUA6NLw09EwE0CqkOc4q9oUmW1yo/edit?usp=sharing"",""สุโขทัย!J565"")"),0)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IFERROR(__xludf.DUMMYFUNCTION("IMPORTRANGE(""https://docs.google.com/spreadsheets/d/11923uPwbBZFjjGgGUA6NLw09EwE0CqkOc4q9oUmW1yo/edit?usp=sharing"",""สุโขทัย!I566"")"),0)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IFERROR(__xludf.DUMMYFUNCTION("IMPORTRANGE(""https://docs.google.com/spreadsheets/d/11923uPwbBZFjjGgGUA6NLw09EwE0CqkOc4q9oUmW1yo/edit?usp=sharing"",""สุโขทัย!L566"")"),0)</f>
        <v>0</v>
      </c>
      <c r="M671" s="520"/>
      <c r="N671" s="537">
        <f ca="1">IFERROR(__xludf.DUMMYFUNCTION("IMPORTRANGE(""https://docs.google.com/spreadsheets/d/11923uPwbBZFjjGgGUA6NLw09EwE0CqkOc4q9oUmW1yo/edit?usp=sharing"",""สุโขทัย!M566"")"),0)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IFERROR(__xludf.DUMMYFUNCTION("IMPORTRANGE(""https://docs.google.com/spreadsheets/d/11923uPwbBZFjjGgGUA6NLw09EwE0CqkOc4q9oUmW1yo/edit?usp=sharing"",""สุโขทัย!J567"")"),0)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IFERROR(__xludf.DUMMYFUNCTION("IMPORTRANGE(""https://docs.google.com/spreadsheets/d/11923uPwbBZFjjGgGUA6NLw09EwE0CqkOc4q9oUmW1yo/edit?usp=sharing"",""สุโขทัย!J568"")"),0)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IFERROR(__xludf.DUMMYFUNCTION("IMPORTRANGE(""https://docs.google.com/spreadsheets/d/11923uPwbBZFjjGgGUA6NLw09EwE0CqkOc4q9oUmW1yo/edit?usp=sharing"",""สุโขทัย!J569"")"),0)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IFERROR(__xludf.DUMMYFUNCTION("IMPORTRANGE(""https://docs.google.com/spreadsheets/d/11923uPwbBZFjjGgGUA6NLw09EwE0CqkOc4q9oUmW1yo/edit?usp=sharing"",""สุโขทัย!J570"")"),0)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IFERROR(__xludf.DUMMYFUNCTION("IMPORTRANGE(""https://docs.google.com/spreadsheets/d/11923uPwbBZFjjGgGUA6NLw09EwE0CqkOc4q9oUmW1yo/edit?usp=sharing"",""สุโขทัย!J571"")"),0)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IFERROR(__xludf.DUMMYFUNCTION("IMPORTRANGE(""https://docs.google.com/spreadsheets/d/11923uPwbBZFjjGgGUA6NLw09EwE0CqkOc4q9oUmW1yo/edit?usp=sharing"",""สุโขทัย!J572"")"),0)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290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5635621.7000000002</v>
      </c>
      <c r="M8" s="23">
        <f t="shared" ca="1" si="0"/>
        <v>2882118.7</v>
      </c>
      <c r="N8" s="23">
        <f t="shared" ca="1" si="0"/>
        <v>3684970.38</v>
      </c>
      <c r="O8" s="22">
        <f t="shared" ref="O8:O16" ca="1" si="1">IF(L8&gt;0,N8*100/L8,0)</f>
        <v>65.387113900849656</v>
      </c>
      <c r="P8" s="22">
        <f t="shared" ref="P8:P16" ca="1" si="2">IF(M8&gt;0,N8*100/M8,0)</f>
        <v>127.85630168528451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5635621.7000000002</v>
      </c>
      <c r="M10" s="30">
        <f t="shared" ca="1" si="4"/>
        <v>2882118.7</v>
      </c>
      <c r="N10" s="30">
        <f t="shared" ca="1" si="4"/>
        <v>3684970.38</v>
      </c>
      <c r="O10" s="29">
        <f t="shared" ca="1" si="1"/>
        <v>65.387113900849656</v>
      </c>
      <c r="P10" s="29">
        <f t="shared" ca="1" si="2"/>
        <v>127.85630168528451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4790192</v>
      </c>
      <c r="M12" s="39">
        <f t="shared" ca="1" si="6"/>
        <v>2036689</v>
      </c>
      <c r="N12" s="39">
        <f t="shared" ca="1" si="6"/>
        <v>2839540.6799999997</v>
      </c>
      <c r="O12" s="39">
        <f t="shared" ca="1" si="1"/>
        <v>59.278222668318932</v>
      </c>
      <c r="P12" s="39">
        <f t="shared" ca="1" si="2"/>
        <v>139.4194538292297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2910092</v>
      </c>
      <c r="M14" s="39">
        <f t="shared" si="8"/>
        <v>0</v>
      </c>
      <c r="N14" s="39">
        <f t="shared" ca="1" si="8"/>
        <v>1113952.0900000001</v>
      </c>
      <c r="O14" s="39">
        <f t="shared" ca="1" si="1"/>
        <v>38.278930356840959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845429.7</v>
      </c>
      <c r="M16" s="39">
        <f t="shared" ca="1" si="10"/>
        <v>845429.7</v>
      </c>
      <c r="N16" s="39">
        <f t="shared" ca="1" si="10"/>
        <v>845429.7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3430894.7</v>
      </c>
      <c r="M18" s="23">
        <f t="shared" ca="1" si="11"/>
        <v>2882118.7</v>
      </c>
      <c r="N18" s="23">
        <f t="shared" ca="1" si="11"/>
        <v>2571018.29</v>
      </c>
      <c r="O18" s="22">
        <f t="shared" ref="O18:O20" ca="1" si="12">IF(L18&gt;0,N18*100/L18,0)</f>
        <v>74.937254413549908</v>
      </c>
      <c r="P18" s="22">
        <f t="shared" ref="P18:P26" ca="1" si="13">IF(M18&gt;0,N18*100/M18,0)</f>
        <v>89.205843256906803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3430894.7</v>
      </c>
      <c r="M20" s="30">
        <f t="shared" ca="1" si="15"/>
        <v>2882118.7</v>
      </c>
      <c r="N20" s="30">
        <f t="shared" ca="1" si="15"/>
        <v>2571018.29</v>
      </c>
      <c r="O20" s="29">
        <f t="shared" ca="1" si="12"/>
        <v>74.937254413549908</v>
      </c>
      <c r="P20" s="29">
        <f t="shared" ca="1" si="13"/>
        <v>89.205843256906803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2585465</v>
      </c>
      <c r="M22" s="42">
        <f t="shared" ca="1" si="18"/>
        <v>2036689</v>
      </c>
      <c r="N22" s="39">
        <f t="shared" ca="1" si="18"/>
        <v>1725588.5899999999</v>
      </c>
      <c r="O22" s="39">
        <f t="shared" ca="1" si="17"/>
        <v>66.741904841102084</v>
      </c>
      <c r="P22" s="39">
        <f t="shared" ca="1" si="13"/>
        <v>84.725188283532731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705365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845429.7</v>
      </c>
      <c r="M26" s="50">
        <f t="shared" ca="1" si="22"/>
        <v>845429.7</v>
      </c>
      <c r="N26" s="50">
        <f t="shared" ca="1" si="22"/>
        <v>845429.7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2204727</v>
      </c>
      <c r="M28" s="23">
        <f t="shared" si="23"/>
        <v>0</v>
      </c>
      <c r="N28" s="23">
        <f t="shared" ca="1" si="23"/>
        <v>1113952.0900000001</v>
      </c>
      <c r="O28" s="22">
        <f t="shared" ref="O28:O30" ca="1" si="24">IF(L28&gt;0,N28*100/L28,0)</f>
        <v>50.525624714533826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2204727</v>
      </c>
      <c r="M30" s="30">
        <f t="shared" si="27"/>
        <v>0</v>
      </c>
      <c r="N30" s="30">
        <f t="shared" ca="1" si="27"/>
        <v>1113952.0900000001</v>
      </c>
      <c r="O30" s="29">
        <f t="shared" ca="1" si="24"/>
        <v>50.525624714533826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2204727</v>
      </c>
      <c r="M32" s="39">
        <f t="shared" si="30"/>
        <v>0</v>
      </c>
      <c r="N32" s="39">
        <f t="shared" ca="1" si="30"/>
        <v>1113952.0900000001</v>
      </c>
      <c r="O32" s="39">
        <f t="shared" ca="1" si="29"/>
        <v>50.525624714533826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2204727</v>
      </c>
      <c r="M34" s="39">
        <f t="shared" si="32"/>
        <v>0</v>
      </c>
      <c r="N34" s="39">
        <f t="shared" ca="1" si="32"/>
        <v>1113952.0900000001</v>
      </c>
      <c r="O34" s="39">
        <f t="shared" ca="1" si="29"/>
        <v>50.525624714533826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3430894.7</v>
      </c>
      <c r="M37" s="55">
        <f t="shared" ca="1" si="33"/>
        <v>2882118.7</v>
      </c>
      <c r="N37" s="55">
        <f t="shared" ca="1" si="33"/>
        <v>2571018.29</v>
      </c>
      <c r="O37" s="56">
        <f t="shared" ca="1" si="29"/>
        <v>74.937254413549908</v>
      </c>
      <c r="P37" s="56">
        <f t="shared" ca="1" si="25"/>
        <v>89.205843256906803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1487129.7</v>
      </c>
      <c r="M41" s="79">
        <f t="shared" ca="1" si="34"/>
        <v>1305483.7</v>
      </c>
      <c r="N41" s="79">
        <f t="shared" ca="1" si="34"/>
        <v>1231133.33</v>
      </c>
      <c r="O41" s="78">
        <f t="shared" ref="O41:O43" ca="1" si="35">IF(L41&gt;0,N41*100/L41,0)</f>
        <v>82.785874695394767</v>
      </c>
      <c r="P41" s="78">
        <f t="shared" ref="P41:P43" ca="1" si="36">IF(M41&gt;0,N41*100/M41,0)</f>
        <v>94.304764586490052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1487129.7</v>
      </c>
      <c r="M43" s="79">
        <f t="shared" ca="1" si="38"/>
        <v>1305483.7</v>
      </c>
      <c r="N43" s="79">
        <f t="shared" ca="1" si="38"/>
        <v>1231133.33</v>
      </c>
      <c r="O43" s="78">
        <f t="shared" ca="1" si="35"/>
        <v>82.785874695394767</v>
      </c>
      <c r="P43" s="78">
        <f t="shared" ca="1" si="36"/>
        <v>94.304764586490052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IFERROR(__xludf.DUMMYFUNCTION("IMPORTRANGE(""https://docs.google.com/spreadsheets/d/1Yj_ptqi66GCucihVvJfMjLAmec39IyEx_6qawtMGysU/edit?usp=sharing"",""สบก!Q35"")"),552454)</f>
        <v>552454</v>
      </c>
      <c r="N45" s="50">
        <f ca="1">IFERROR(__xludf.DUMMYFUNCTION("IMPORTRANGE(""https://docs.google.com/spreadsheets/d/1Yj_ptqi66GCucihVvJfMjLAmec39IyEx_6qawtMGysU/edit?usp=sharing"",""สบก!R35"")"),478103.63)</f>
        <v>478103.63</v>
      </c>
      <c r="O45" s="39">
        <f ca="1">IF(L45&gt;0,N45*100/L45,0)</f>
        <v>65.127861326794715</v>
      </c>
      <c r="P45" s="39">
        <f ca="1">IF(M45&gt;0,N45*100/M45,0)</f>
        <v>86.541798955207128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IFERROR(__xludf.DUMMYFUNCTION("IMPORTRANGE(""https://docs.google.com/spreadsheets/d/1Yj_ptqi66GCucihVvJfMjLAmec39IyEx_6qawtMGysU/edit?usp=sharing"",""สบก!O35"")"),753029.7)</f>
        <v>753029.7</v>
      </c>
      <c r="M49" s="50">
        <f ca="1">L49</f>
        <v>753029.7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321590</v>
      </c>
      <c r="N53" s="121">
        <f t="shared" ca="1" si="39"/>
        <v>317901</v>
      </c>
      <c r="O53" s="120">
        <f t="shared" ref="O53:O55" ca="1" si="40">IF(L53&gt;0,N53*100/L53,0)</f>
        <v>79.475250000000003</v>
      </c>
      <c r="P53" s="120">
        <f t="shared" ref="P53:P55" ca="1" si="41">IF(M53&gt;0,N53*100/M53,0)</f>
        <v>98.852887216642316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321590</v>
      </c>
      <c r="N55" s="121">
        <f t="shared" ca="1" si="43"/>
        <v>317901</v>
      </c>
      <c r="O55" s="120">
        <f t="shared" ca="1" si="40"/>
        <v>79.475250000000003</v>
      </c>
      <c r="P55" s="120">
        <f t="shared" ca="1" si="41"/>
        <v>98.852887216642316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IFERROR(__xludf.DUMMYFUNCTION("IMPORTRANGE(""https://docs.google.com/spreadsheets/d/1Yj_ptqi66GCucihVvJfMjLAmec39IyEx_6qawtMGysU/edit?usp=sharing"",""สบก!Z35"")"),321590)</f>
        <v>321590</v>
      </c>
      <c r="N57" s="50">
        <f ca="1">IFERROR(__xludf.DUMMYFUNCTION("IMPORTRANGE(""https://docs.google.com/spreadsheets/d/1Yj_ptqi66GCucihVvJfMjLAmec39IyEx_6qawtMGysU/edit?usp=sharing"",""สบก!AA35"")"),317901)</f>
        <v>317901</v>
      </c>
      <c r="O57" s="39">
        <f ca="1">IF(L57&gt;0,N57*100/L57,0)</f>
        <v>79.475250000000003</v>
      </c>
      <c r="P57" s="39">
        <f ca="1">IF(M57&gt;0,N57*100/M57,0)</f>
        <v>98.852887216642316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176912.5</v>
      </c>
      <c r="O94" s="151">
        <f t="shared" ref="O94:O96" ca="1" si="53">IF(L94&gt;0,N94*100/L94,0)</f>
        <v>82.476689976689983</v>
      </c>
      <c r="P94" s="151">
        <f t="shared" ref="P94:P96" ca="1" si="54">IF(M94&gt;0,N94*100/M94,0)</f>
        <v>90.978632588516618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176912.5</v>
      </c>
      <c r="O96" s="156">
        <f t="shared" ca="1" si="53"/>
        <v>82.476689976689983</v>
      </c>
      <c r="P96" s="156">
        <f t="shared" ca="1" si="54"/>
        <v>90.978632588516618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IFERROR(__xludf.DUMMYFUNCTION("IMPORTRANGE(""https://docs.google.com/spreadsheets/d/1Yj_ptqi66GCucihVvJfMjLAmec39IyEx_6qawtMGysU/edit?usp=sharing"",""สบก!AR35"")"),102055)</f>
        <v>102055</v>
      </c>
      <c r="N98" s="168">
        <f ca="1">IFERROR(__xludf.DUMMYFUNCTION("IMPORTRANGE(""https://docs.google.com/spreadsheets/d/1Yj_ptqi66GCucihVvJfMjLAmec39IyEx_6qawtMGysU/edit?usp=sharing"",""สบก!AS35"")"),84512.5)</f>
        <v>84512.5</v>
      </c>
      <c r="O98" s="168">
        <f ca="1">IF(L98&gt;0,N98*100/L98,0)</f>
        <v>69.215806715806721</v>
      </c>
      <c r="P98" s="168">
        <f ca="1">IF(M98&gt;0,N98*100/M98,0)</f>
        <v>82.81073930723629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63044.6</v>
      </c>
      <c r="O118" s="151">
        <f t="shared" ref="O118:O120" ca="1" si="59">IF(L118&gt;0,N118*100/L118,0)</f>
        <v>76.473313925278987</v>
      </c>
      <c r="P118" s="151">
        <f t="shared" ref="P118:P120" ca="1" si="60">IF(M118&gt;0,N118*100/M118,0)</f>
        <v>76.473313925278987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63044.6</v>
      </c>
      <c r="O120" s="156">
        <f t="shared" ca="1" si="59"/>
        <v>76.473313925278987</v>
      </c>
      <c r="P120" s="156">
        <f t="shared" ca="1" si="60"/>
        <v>76.473313925278987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IFERROR(__xludf.DUMMYFUNCTION("IMPORTRANGE(""https://docs.google.com/spreadsheets/d/1Yj_ptqi66GCucihVvJfMjLAmec39IyEx_6qawtMGysU/edit?usp=sharing"",""สบก!BB35"")"),63044.6)</f>
        <v>63044.6</v>
      </c>
      <c r="O122" s="168">
        <f ca="1">IF(L122&gt;0,N122*100/L122,0)</f>
        <v>76.473313925278987</v>
      </c>
      <c r="P122" s="168">
        <f ca="1">IF(M122&gt;0,N122*100/M122,0)</f>
        <v>76.473313925278987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116725</v>
      </c>
      <c r="N140" s="152">
        <f t="shared" ca="1" si="64"/>
        <v>64670.1</v>
      </c>
      <c r="O140" s="151">
        <f t="shared" ref="O140:O142" ca="1" si="65">IF(L140&gt;0,N140*100/L140,0)</f>
        <v>81.860886075949367</v>
      </c>
      <c r="P140" s="151">
        <f t="shared" ref="P140:P142" ca="1" si="66">IF(M140&gt;0,N140*100/M140,0)</f>
        <v>55.403812379524524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79000</v>
      </c>
      <c r="M142" s="88">
        <f t="shared" ca="1" si="68"/>
        <v>116725</v>
      </c>
      <c r="N142" s="88">
        <f t="shared" ca="1" si="68"/>
        <v>64670.1</v>
      </c>
      <c r="O142" s="156">
        <f t="shared" ca="1" si="65"/>
        <v>81.860886075949367</v>
      </c>
      <c r="P142" s="156">
        <f t="shared" ca="1" si="66"/>
        <v>55.403812379524524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IFERROR(__xludf.DUMMYFUNCTION("IMPORTRANGE(""https://docs.google.com/spreadsheets/d/1Yj_ptqi66GCucihVvJfMjLAmec39IyEx_6qawtMGysU/edit?usp=sharing"",""สบก!BJ35"")"),116725)</f>
        <v>116725</v>
      </c>
      <c r="N144" s="168">
        <f ca="1">IFERROR(__xludf.DUMMYFUNCTION("IMPORTRANGE(""https://docs.google.com/spreadsheets/d/1Yj_ptqi66GCucihVvJfMjLAmec39IyEx_6qawtMGysU/edit?usp=sharing"",""สบก!BK35"")"),64670.1)</f>
        <v>64670.1</v>
      </c>
      <c r="O144" s="168">
        <f ca="1">IF(L144&gt;0,N144*100/L144,0)</f>
        <v>81.860886075949367</v>
      </c>
      <c r="P144" s="168">
        <f ca="1">IF(M144&gt;0,N144*100/M144,0)</f>
        <v>55.403812379524524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IFERROR(__xludf.DUMMYFUNCTION("IMPORTRANGE(""https://docs.google.com/spreadsheets/d/11923uPwbBZFjjGgGUA6NLw09EwE0CqkOc4q9oUmW1yo/edit?usp=sharing"",""อุตรดิตถ์!J84"")"),115)</f>
        <v>115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IFERROR(__xludf.DUMMYFUNCTION("IMPORTRANGE(""https://docs.google.com/spreadsheets/d/11923uPwbBZFjjGgGUA6NLw09EwE0CqkOc4q9oUmW1yo/edit?usp=sharing"",""อุตรดิตถ์!J85"")"),115)</f>
        <v>115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140820.76</v>
      </c>
      <c r="O250" s="151">
        <f t="shared" ref="O250:O252" ca="1" si="78">IF(L250&gt;0,N250*100/L250,0)</f>
        <v>69.233411996066863</v>
      </c>
      <c r="P250" s="151">
        <f t="shared" ref="P250:P252" ca="1" si="79">IF(M250&gt;0,N250*100/M250,0)</f>
        <v>99.872879432624117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140820.76</v>
      </c>
      <c r="O252" s="156">
        <f t="shared" ca="1" si="78"/>
        <v>69.233411996066863</v>
      </c>
      <c r="P252" s="156">
        <f t="shared" ca="1" si="79"/>
        <v>99.872879432624117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IFERROR(__xludf.DUMMYFUNCTION("IMPORTRANGE(""https://docs.google.com/spreadsheets/d/1Yj_ptqi66GCucihVvJfMjLAmec39IyEx_6qawtMGysU/edit?usp=sharing"",""สบก!CB35"")"),141000)</f>
        <v>141000</v>
      </c>
      <c r="N254" s="168">
        <f ca="1">IFERROR(__xludf.DUMMYFUNCTION("IMPORTRANGE(""https://docs.google.com/spreadsheets/d/1Yj_ptqi66GCucihVvJfMjLAmec39IyEx_6qawtMGysU/edit?usp=sharing"",""สบก!CC35"")"),140820.76)</f>
        <v>140820.76</v>
      </c>
      <c r="O254" s="168">
        <f ca="1">IF(L254&gt;0,N254*100/L254,0)</f>
        <v>69.233411996066863</v>
      </c>
      <c r="P254" s="168">
        <f ca="1">IF(M254&gt;0,N254*100/M254,0)</f>
        <v>99.872879432624117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IFERROR(__xludf.DUMMYFUNCTION("IMPORTRANGE(""https://docs.google.com/spreadsheets/d/11923uPwbBZFjjGgGUA6NLw09EwE0CqkOc4q9oUmW1yo/edit?usp=sharing"",""อุตรดิตถ์!J228"")"),151)</f>
        <v>151</v>
      </c>
      <c r="K328" s="317">
        <f ca="1">IF(I328&gt;0,J328*100/I328,0)</f>
        <v>27.962962962962962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943300</v>
      </c>
      <c r="M329" s="152">
        <f t="shared" ca="1" si="98"/>
        <v>699300</v>
      </c>
      <c r="N329" s="152">
        <f t="shared" ca="1" si="98"/>
        <v>555411</v>
      </c>
      <c r="O329" s="151">
        <f t="shared" ref="O329:O331" ca="1" si="99">IF(L329&gt;0,N329*100/L329,0)</f>
        <v>58.879571716315063</v>
      </c>
      <c r="P329" s="151">
        <f t="shared" ref="P329:P331" ca="1" si="100">IF(M329&gt;0,N329*100/M329,0)</f>
        <v>79.423852423852423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943300</v>
      </c>
      <c r="M331" s="88">
        <f t="shared" ca="1" si="102"/>
        <v>699300</v>
      </c>
      <c r="N331" s="88">
        <f t="shared" ca="1" si="102"/>
        <v>555411</v>
      </c>
      <c r="O331" s="156">
        <f t="shared" ca="1" si="99"/>
        <v>58.879571716315063</v>
      </c>
      <c r="P331" s="156">
        <f t="shared" ca="1" si="100"/>
        <v>79.423852423852423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943300</v>
      </c>
      <c r="M333" s="167">
        <f ca="1">IFERROR(__xludf.DUMMYFUNCTION("IMPORTRANGE(""https://docs.google.com/spreadsheets/d/1Yj_ptqi66GCucihVvJfMjLAmec39IyEx_6qawtMGysU/edit?usp=sharing"",""สบก!DL35"")"),699300)</f>
        <v>699300</v>
      </c>
      <c r="N333" s="168">
        <f ca="1">IFERROR(__xludf.DUMMYFUNCTION("IMPORTRANGE(""https://docs.google.com/spreadsheets/d/1Yj_ptqi66GCucihVvJfMjLAmec39IyEx_6qawtMGysU/edit?usp=sharing"",""สบก!DM35"")"),555411)</f>
        <v>555411</v>
      </c>
      <c r="O333" s="168">
        <f ca="1">IF(L333&gt;0,N333*100/L333,0)</f>
        <v>58.879571716315063</v>
      </c>
      <c r="P333" s="168">
        <f ca="1">IF(M333&gt;0,N333*100/M333,0)</f>
        <v>79.423852423852423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IFERROR(__xludf.DUMMYFUNCTION("IMPORTRANGE(""https://docs.google.com/spreadsheets/d/1Yj_ptqi66GCucihVvJfMjLAmec39IyEx_6qawtMGysU/edit?usp=sharing"",""สบก!DI35"")"),329300)</f>
        <v>329300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IFERROR(__xludf.DUMMYFUNCTION("IMPORTRANGE(""https://docs.google.com/spreadsheets/d/11923uPwbBZFjjGgGUA6NLw09EwE0CqkOc4q9oUmW1yo/edit?usp=sharing"",""อุตรดิตถ์!J234"")"),63)</f>
        <v>63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IFERROR(__xludf.DUMMYFUNCTION("IMPORTRANGE(""https://docs.google.com/spreadsheets/d/11923uPwbBZFjjGgGUA6NLw09EwE0CqkOc4q9oUmW1yo/edit?usp=sharing"",""อุตรดิตถ์!J235"")"),510.49)</f>
        <v>510.49</v>
      </c>
      <c r="K340" s="342">
        <f t="shared" ca="1" si="103"/>
        <v>63.811250000000001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IFERROR(__xludf.DUMMYFUNCTION("IMPORTRANGE(""https://docs.google.com/spreadsheets/d/11923uPwbBZFjjGgGUA6NLw09EwE0CqkOc4q9oUmW1yo/edit?usp=sharing"",""อุตรดิตถ์!J236"")"),176)</f>
        <v>176</v>
      </c>
      <c r="K341" s="342">
        <f t="shared" ca="1" si="103"/>
        <v>32.592592592592595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IFERROR(__xludf.DUMMYFUNCTION("IMPORTRANGE(""https://docs.google.com/spreadsheets/d/11923uPwbBZFjjGgGUA6NLw09EwE0CqkOc4q9oUmW1yo/edit?usp=sharing"",""อุตรดิตถ์!J237"")"),1782.11)</f>
        <v>1782.11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IFERROR(__xludf.DUMMYFUNCTION("IMPORTRANGE(""https://docs.google.com/spreadsheets/d/11923uPwbBZFjjGgGUA6NLw09EwE0CqkOc4q9oUmW1yo/edit?usp=sharing"",""อุตรดิตถ์!J240"")"),151)</f>
        <v>151</v>
      </c>
      <c r="K345" s="342">
        <f t="shared" ca="1" si="103"/>
        <v>27.962962962962962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IFERROR(__xludf.DUMMYFUNCTION("IMPORTRANGE(""https://docs.google.com/spreadsheets/d/11923uPwbBZFjjGgGUA6NLw09EwE0CqkOc4q9oUmW1yo/edit?usp=sharing"",""อุตรดิตถ์!J241"")"),1607.35)</f>
        <v>1607.35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IFERROR(__xludf.DUMMYFUNCTION("IMPORTRANGE(""https://docs.google.com/spreadsheets/d/11923uPwbBZFjjGgGUA6NLw09EwE0CqkOc4q9oUmW1yo/edit?usp=sharing"",""อุตรดิตถ์!L242"")"),2204727)</f>
        <v>2204727</v>
      </c>
      <c r="M347" s="357"/>
      <c r="N347" s="357">
        <f ca="1">IFERROR(__xludf.DUMMYFUNCTION("IMPORTRANGE(""https://docs.google.com/spreadsheets/d/11923uPwbBZFjjGgGUA6NLw09EwE0CqkOc4q9oUmW1yo/edit?usp=sharing"",""อุตรดิตถ์!M242"")"),1113952.09)</f>
        <v>1113952.0900000001</v>
      </c>
      <c r="O347" s="357">
        <f ca="1">+IF(L347&gt;0,N347*100/L347,0)</f>
        <v>50.525624714533826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IFERROR(__xludf.DUMMYFUNCTION("IMPORTRANGE(""https://docs.google.com/spreadsheets/d/11923uPwbBZFjjGgGUA6NLw09EwE0CqkOc4q9oUmW1yo/edit?usp=sharing"",""อุตรดิตถ์!M244"")"),152326)</f>
        <v>152326</v>
      </c>
      <c r="O349" s="372">
        <f ca="1">+IF(L349&gt;0,N349*100/L349,0)</f>
        <v>59.096058348851642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IFERROR(__xludf.DUMMYFUNCTION("IMPORTRANGE(""https://docs.google.com/spreadsheets/d/11923uPwbBZFjjGgGUA6NLw09EwE0CqkOc4q9oUmW1yo/edit?usp=sharing"",""อุตรดิตถ์!M247"")"),152326)</f>
        <v>152326</v>
      </c>
      <c r="O352" s="165">
        <f t="shared" ca="1" si="105"/>
        <v>59.096058348851642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IFERROR(__xludf.DUMMYFUNCTION("IMPORTRANGE(""https://docs.google.com/spreadsheets/d/11923uPwbBZFjjGgGUA6NLw09EwE0CqkOc4q9oUmW1yo/edit?usp=sharing"",""อุตรดิตถ์!M249"")"),152326)</f>
        <v>152326</v>
      </c>
      <c r="O354" s="168">
        <f t="shared" ca="1" si="105"/>
        <v>59.096058348851642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IFERROR(__xludf.DUMMYFUNCTION("IMPORTRANGE(""https://docs.google.com/spreadsheets/d/11923uPwbBZFjjGgGUA6NLw09EwE0CqkOc4q9oUmW1yo/edit?usp=sharing"",""อุตรดิตถ์!M251"")"),14038)</f>
        <v>14038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IFERROR(__xludf.DUMMYFUNCTION("IMPORTRANGE(""https://docs.google.com/spreadsheets/d/11923uPwbBZFjjGgGUA6NLw09EwE0CqkOc4q9oUmW1yo/edit?usp=sharing"",""อุตรดิตถ์!M252"")"),73361)</f>
        <v>73361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IFERROR(__xludf.DUMMYFUNCTION("IMPORTRANGE(""https://docs.google.com/spreadsheets/d/11923uPwbBZFjjGgGUA6NLw09EwE0CqkOc4q9oUmW1yo/edit?usp=sharing"",""อุตรดิตถ์!M253"")"),12545)</f>
        <v>12545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IFERROR(__xludf.DUMMYFUNCTION("IMPORTRANGE(""https://docs.google.com/spreadsheets/d/11923uPwbBZFjjGgGUA6NLw09EwE0CqkOc4q9oUmW1yo/edit?usp=sharing"",""อุตรดิตถ์!M275"")"),291030.8)</f>
        <v>291030.8</v>
      </c>
      <c r="O380" s="372">
        <f ca="1">+IF(L380&gt;0,N380*100/L380,0)</f>
        <v>28.296075914906858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IFERROR(__xludf.DUMMYFUNCTION("IMPORTRANGE(""https://docs.google.com/spreadsheets/d/11923uPwbBZFjjGgGUA6NLw09EwE0CqkOc4q9oUmW1yo/edit?usp=sharing"",""อุตรดิตถ์!M278"")"),291030.8)</f>
        <v>291030.8</v>
      </c>
      <c r="O383" s="165">
        <f t="shared" ca="1" si="109"/>
        <v>28.296075914906858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IFERROR(__xludf.DUMMYFUNCTION("IMPORTRANGE(""https://docs.google.com/spreadsheets/d/11923uPwbBZFjjGgGUA6NLw09EwE0CqkOc4q9oUmW1yo/edit?usp=sharing"",""อุตรดิตถ์!M280"")"),291030.8)</f>
        <v>291030.8</v>
      </c>
      <c r="O385" s="168">
        <f t="shared" ca="1" si="109"/>
        <v>28.296075914906858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IFERROR(__xludf.DUMMYFUNCTION("IMPORTRANGE(""https://docs.google.com/spreadsheets/d/11923uPwbBZFjjGgGUA6NLw09EwE0CqkOc4q9oUmW1yo/edit?usp=sharing"",""อุตรดิตถ์!M283"")"),79588)</f>
        <v>79588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IFERROR(__xludf.DUMMYFUNCTION("IMPORTRANGE(""https://docs.google.com/spreadsheets/d/11923uPwbBZFjjGgGUA6NLw09EwE0CqkOc4q9oUmW1yo/edit?usp=sharing"",""อุตรดิตถ์!M284"")"),25239.8)</f>
        <v>25239.8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IFERROR(__xludf.DUMMYFUNCTION("IMPORTRANGE(""https://docs.google.com/spreadsheets/d/11923uPwbBZFjjGgGUA6NLw09EwE0CqkOc4q9oUmW1yo/edit?usp=sharing"",""อุตรดิตถ์!M296"")"),132155.5)</f>
        <v>132155.5</v>
      </c>
      <c r="O401" s="372">
        <f ca="1">+IF(L401&gt;0,N401*100/L401,0)</f>
        <v>82.623007189746801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IFERROR(__xludf.DUMMYFUNCTION("IMPORTRANGE(""https://docs.google.com/spreadsheets/d/11923uPwbBZFjjGgGUA6NLw09EwE0CqkOc4q9oUmW1yo/edit?usp=sharing"",""อุตรดิตถ์!M299"")"),132155.5)</f>
        <v>132155.5</v>
      </c>
      <c r="O404" s="168">
        <f t="shared" ca="1" si="112"/>
        <v>82.623007189746801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IFERROR(__xludf.DUMMYFUNCTION("IMPORTRANGE(""https://docs.google.com/spreadsheets/d/11923uPwbBZFjjGgGUA6NLw09EwE0CqkOc4q9oUmW1yo/edit?usp=sharing"",""อุตรดิตถ์!M301"")"),132155.5)</f>
        <v>132155.5</v>
      </c>
      <c r="O406" s="168">
        <f t="shared" ca="1" si="112"/>
        <v>82.623007189746801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IFERROR(__xludf.DUMMYFUNCTION("IMPORTRANGE(""https://docs.google.com/spreadsheets/d/11923uPwbBZFjjGgGUA6NLw09EwE0CqkOc4q9oUmW1yo/edit?usp=sharing"",""อุตรดิตถ์!M305"")"),10899.5)</f>
        <v>10899.5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IFERROR(__xludf.DUMMYFUNCTION("IMPORTRANGE(""https://docs.google.com/spreadsheets/d/11923uPwbBZFjjGgGUA6NLw09EwE0CqkOc4q9oUmW1yo/edit?usp=sharing"",""อุตรดิตถ์!M330"")"),68096.9)</f>
        <v>68096.899999999994</v>
      </c>
      <c r="O435" s="411">
        <f t="shared" ref="O435:O439" ca="1" si="114">+IF(L435&gt;0,N435*100/L435,0)</f>
        <v>68.096899999999991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IFERROR(__xludf.DUMMYFUNCTION("IMPORTRANGE(""https://docs.google.com/spreadsheets/d/11923uPwbBZFjjGgGUA6NLw09EwE0CqkOc4q9oUmW1yo/edit?usp=sharing"",""อุตรดิตถ์!M332"")"),68096.9)</f>
        <v>68096.899999999994</v>
      </c>
      <c r="O437" s="168">
        <f t="shared" ca="1" si="114"/>
        <v>68.096899999999991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IFERROR(__xludf.DUMMYFUNCTION("IMPORTRANGE(""https://docs.google.com/spreadsheets/d/11923uPwbBZFjjGgGUA6NLw09EwE0CqkOc4q9oUmW1yo/edit?usp=sharing"",""อุตรดิตถ์!M334"")"),68096.9)</f>
        <v>68096.899999999994</v>
      </c>
      <c r="O439" s="168">
        <f t="shared" ca="1" si="114"/>
        <v>68.096899999999991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IFERROR(__xludf.DUMMYFUNCTION("IMPORTRANGE(""https://docs.google.com/spreadsheets/d/11923uPwbBZFjjGgGUA6NLw09EwE0CqkOc4q9oUmW1yo/edit?usp=sharing"",""อุตรดิตถ์!M338"")"),27738.9)</f>
        <v>27738.9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IFERROR(__xludf.DUMMYFUNCTION("IMPORTRANGE(""https://docs.google.com/spreadsheets/d/11923uPwbBZFjjGgGUA6NLw09EwE0CqkOc4q9oUmW1yo/edit?usp=sharing"",""อุตรดิตถ์!L350"")"),190727)</f>
        <v>190727</v>
      </c>
      <c r="M455" s="372"/>
      <c r="N455" s="372">
        <f ca="1">IFERROR(__xludf.DUMMYFUNCTION("IMPORTRANGE(""https://docs.google.com/spreadsheets/d/11923uPwbBZFjjGgGUA6NLw09EwE0CqkOc4q9oUmW1yo/edit?usp=sharing"",""อุตรดิตถ์!M350"")"),60933.69)</f>
        <v>60933.69</v>
      </c>
      <c r="O455" s="372">
        <f t="shared" ref="O455:O459" ca="1" si="116">+IF(L455&gt;0,N455*100/L455,0)</f>
        <v>31.948119563564678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IFERROR(__xludf.DUMMYFUNCTION("IMPORTRANGE(""https://docs.google.com/spreadsheets/d/11923uPwbBZFjjGgGUA6NLw09EwE0CqkOc4q9oUmW1yo/edit?usp=sharing"",""อุตรดิตถ์!L352"")"),190727)</f>
        <v>190727</v>
      </c>
      <c r="M457" s="165"/>
      <c r="N457" s="168">
        <f ca="1">IFERROR(__xludf.DUMMYFUNCTION("IMPORTRANGE(""https://docs.google.com/spreadsheets/d/11923uPwbBZFjjGgGUA6NLw09EwE0CqkOc4q9oUmW1yo/edit?usp=sharing"",""อุตรดิตถ์!M352"")"),60933.69)</f>
        <v>60933.69</v>
      </c>
      <c r="O457" s="168">
        <f t="shared" ca="1" si="116"/>
        <v>31.948119563564678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IFERROR(__xludf.DUMMYFUNCTION("IMPORTRANGE(""https://docs.google.com/spreadsheets/d/11923uPwbBZFjjGgGUA6NLw09EwE0CqkOc4q9oUmW1yo/edit?usp=sharing"",""อุตรดิตถ์!L354"")"),190727)</f>
        <v>190727</v>
      </c>
      <c r="M459" s="168"/>
      <c r="N459" s="168">
        <f ca="1">IFERROR(__xludf.DUMMYFUNCTION("IMPORTRANGE(""https://docs.google.com/spreadsheets/d/11923uPwbBZFjjGgGUA6NLw09EwE0CqkOc4q9oUmW1yo/edit?usp=sharing"",""อุตรดิตถ์!M354"")"),60933.69)</f>
        <v>60933.69</v>
      </c>
      <c r="O459" s="168">
        <f t="shared" ca="1" si="116"/>
        <v>31.948119563564678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IFERROR(__xludf.DUMMYFUNCTION("IMPORTRANGE(""https://docs.google.com/spreadsheets/d/11923uPwbBZFjjGgGUA6NLw09EwE0CqkOc4q9oUmW1yo/edit?usp=sharing"",""อุตรดิตถ์!M358"")"),60933.69)</f>
        <v>60933.69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IFERROR(__xludf.DUMMYFUNCTION("IMPORTRANGE(""https://docs.google.com/spreadsheets/d/11923uPwbBZFjjGgGUA6NLw09EwE0CqkOc4q9oUmW1yo/edit?usp=sharing"",""อุตรดิตถ์!M428"")"),23281)</f>
        <v>23281</v>
      </c>
      <c r="O533" s="411">
        <f t="shared" ref="O533:O537" ca="1" si="118">+IF(L533&gt;0,N533*100/L533,0)</f>
        <v>67.795573675014566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IFERROR(__xludf.DUMMYFUNCTION("IMPORTRANGE(""https://docs.google.com/spreadsheets/d/11923uPwbBZFjjGgGUA6NLw09EwE0CqkOc4q9oUmW1yo/edit?usp=sharing"",""อุตรดิตถ์!M430"")"),23281)</f>
        <v>23281</v>
      </c>
      <c r="O535" s="168">
        <f t="shared" ca="1" si="118"/>
        <v>67.795573675014566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IFERROR(__xludf.DUMMYFUNCTION("IMPORTRANGE(""https://docs.google.com/spreadsheets/d/11923uPwbBZFjjGgGUA6NLw09EwE0CqkOc4q9oUmW1yo/edit?usp=sharing"",""อุตรดิตถ์!M432"")"),23281)</f>
        <v>23281</v>
      </c>
      <c r="O537" s="168">
        <f t="shared" ca="1" si="118"/>
        <v>67.795573675014566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IFERROR(__xludf.DUMMYFUNCTION("IMPORTRANGE(""https://docs.google.com/spreadsheets/d/11923uPwbBZFjjGgGUA6NLw09EwE0CqkOc4q9oUmW1yo/edit?usp=sharing"",""อุตรดิตถ์!M436"")"),4541)</f>
        <v>4541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IFERROR(__xludf.DUMMYFUNCTION("IMPORTRANGE(""https://docs.google.com/spreadsheets/d/11923uPwbBZFjjGgGUA6NLw09EwE0CqkOc4q9oUmW1yo/edit?usp=sharing"",""อุตรดิตถ์!J446"")"),4894)</f>
        <v>4894</v>
      </c>
      <c r="K551" s="410">
        <f ca="1">IF(I551&gt;0,J551*100/I551,0)</f>
        <v>97.88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IFERROR(__xludf.DUMMYFUNCTION("IMPORTRANGE(""https://docs.google.com/spreadsheets/d/11923uPwbBZFjjGgGUA6NLw09EwE0CqkOc4q9oUmW1yo/edit?usp=sharing"",""อุตรดิตถ์!M446"")"),288444.2)</f>
        <v>288444.2</v>
      </c>
      <c r="O551" s="411">
        <f t="shared" ref="O551:O555" ca="1" si="120">+IF(L551&gt;0,N551*100/L551,0)</f>
        <v>96.148066666666665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IFERROR(__xludf.DUMMYFUNCTION("IMPORTRANGE(""https://docs.google.com/spreadsheets/d/11923uPwbBZFjjGgGUA6NLw09EwE0CqkOc4q9oUmW1yo/edit?usp=sharing"",""อุตรดิตถ์!M448"")"),288444.2)</f>
        <v>288444.2</v>
      </c>
      <c r="O553" s="168">
        <f t="shared" ca="1" si="120"/>
        <v>96.148066666666665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IFERROR(__xludf.DUMMYFUNCTION("IMPORTRANGE(""https://docs.google.com/spreadsheets/d/11923uPwbBZFjjGgGUA6NLw09EwE0CqkOc4q9oUmW1yo/edit?usp=sharing"",""อุตรดิตถ์!M450"")"),288444.2)</f>
        <v>288444.2</v>
      </c>
      <c r="O555" s="168">
        <f t="shared" ca="1" si="120"/>
        <v>96.148066666666665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IFERROR(__xludf.DUMMYFUNCTION("IMPORTRANGE(""https://docs.google.com/spreadsheets/d/11923uPwbBZFjjGgGUA6NLw09EwE0CqkOc4q9oUmW1yo/edit?usp=sharing"",""อุตรดิตถ์!M453"")"),71400)</f>
        <v>71400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IFERROR(__xludf.DUMMYFUNCTION("IMPORTRANGE(""https://docs.google.com/spreadsheets/d/11923uPwbBZFjjGgGUA6NLw09EwE0CqkOc4q9oUmW1yo/edit?usp=sharing"",""อุตรดิตถ์!M454"")"),217044.2)</f>
        <v>217044.2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IFERROR(__xludf.DUMMYFUNCTION("IMPORTRANGE(""https://docs.google.com/spreadsheets/d/11923uPwbBZFjjGgGUA6NLw09EwE0CqkOc4q9oUmW1yo/edit?usp=sharing"",""อุตรดิตถ์!J455"")"),4894)</f>
        <v>4894</v>
      </c>
      <c r="K560" s="224">
        <f t="shared" ref="K560:K561" ca="1" si="121">IF(I560&gt;0,J560*100/I560,0)</f>
        <v>97.88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IFERROR(__xludf.DUMMYFUNCTION("IMPORTRANGE(""https://docs.google.com/spreadsheets/d/11923uPwbBZFjjGgGUA6NLw09EwE0CqkOc4q9oUmW1yo/edit?usp=sharing"",""อุตรดิตถ์!J456"")"),657)</f>
        <v>657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IFERROR(__xludf.DUMMYFUNCTION("IMPORTRANGE(""https://docs.google.com/spreadsheets/d/11923uPwbBZFjjGgGUA6NLw09EwE0CqkOc4q9oUmW1yo/edit?usp=sharing"",""อุตรดิตถ์!J459"")"),3021)</f>
        <v>3021</v>
      </c>
      <c r="K564" s="371">
        <f ca="1">IF(I564&gt;0,J564*100/I564,0)</f>
        <v>274.63636363636363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IFERROR(__xludf.DUMMYFUNCTION("IMPORTRANGE(""https://docs.google.com/spreadsheets/d/11923uPwbBZFjjGgGUA6NLw09EwE0CqkOc4q9oUmW1yo/edit?usp=sharing"",""อุตรดิตถ์!M459"")"),96084)</f>
        <v>96084</v>
      </c>
      <c r="O564" s="372">
        <f t="shared" ref="O564:O568" ca="1" si="122">+IF(L564&gt;0,N564*100/L564,0)</f>
        <v>75.490257699560019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IFERROR(__xludf.DUMMYFUNCTION("IMPORTRANGE(""https://docs.google.com/spreadsheets/d/11923uPwbBZFjjGgGUA6NLw09EwE0CqkOc4q9oUmW1yo/edit?usp=sharing"",""อุตรดิตถ์!M461"")"),96084)</f>
        <v>96084</v>
      </c>
      <c r="O566" s="168">
        <f t="shared" ca="1" si="122"/>
        <v>75.490257699560019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IFERROR(__xludf.DUMMYFUNCTION("IMPORTRANGE(""https://docs.google.com/spreadsheets/d/11923uPwbBZFjjGgGUA6NLw09EwE0CqkOc4q9oUmW1yo/edit?usp=sharing"",""อุตรดิตถ์!M463"")"),96084)</f>
        <v>96084</v>
      </c>
      <c r="O568" s="168">
        <f t="shared" ca="1" si="122"/>
        <v>75.490257699560019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IFERROR(__xludf.DUMMYFUNCTION("IMPORTRANGE(""https://docs.google.com/spreadsheets/d/11923uPwbBZFjjGgGUA6NLw09EwE0CqkOc4q9oUmW1yo/edit?usp=sharing"",""อุตรดิตถ์!M466"")"),74128)</f>
        <v>74128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IFERROR(__xludf.DUMMYFUNCTION("IMPORTRANGE(""https://docs.google.com/spreadsheets/d/11923uPwbBZFjjGgGUA6NLw09EwE0CqkOc4q9oUmW1yo/edit?usp=sharing"",""อุตรดิตถ์!M467"")"),21956)</f>
        <v>21956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IFERROR(__xludf.DUMMYFUNCTION("IMPORTRANGE(""https://docs.google.com/spreadsheets/d/11923uPwbBZFjjGgGUA6NLw09EwE0CqkOc4q9oUmW1yo/edit?usp=sharing"",""อุตรดิตถ์!J468"")"),3021)</f>
        <v>3021</v>
      </c>
      <c r="K573" s="201">
        <f ca="1">IF(I573&gt;0,J573*100/I573,0)</f>
        <v>274.63636363636363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IFERROR(__xludf.DUMMYFUNCTION("IMPORTRANGE(""https://docs.google.com/spreadsheets/d/11923uPwbBZFjjGgGUA6NLw09EwE0CqkOc4q9oUmW1yo/edit?usp=sharing"",""อุตรดิตถ์!J471"")"),298)</f>
        <v>298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IFERROR(__xludf.DUMMYFUNCTION("IMPORTRANGE(""https://docs.google.com/spreadsheets/d/11923uPwbBZFjjGgGUA6NLw09EwE0CqkOc4q9oUmW1yo/edit?usp=sharing"",""อุตรดิตถ์!J472"")"),2054)</f>
        <v>2054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IFERROR(__xludf.DUMMYFUNCTION("IMPORTRANGE(""https://docs.google.com/spreadsheets/d/11923uPwbBZFjjGgGUA6NLw09EwE0CqkOc4q9oUmW1yo/edit?usp=sharing"",""อุตรดิตถ์!J474"")"),669)</f>
        <v>669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7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1">
        <f ca="1">IFERROR(__xludf.DUMMYFUNCTION("IMPORTRANGE(""https://docs.google.com/spreadsheets/d/11923uPwbBZFjjGgGUA6NLw09EwE0CqkOc4q9oUmW1yo/edit?usp=sharing"",""อุตรดิตถ์!J523"")"),10356364.64)</f>
        <v>10356364.640000001</v>
      </c>
      <c r="K628" s="342">
        <f t="shared" ref="K628:K635" ca="1" si="129">IF(I628&gt;0,J628*100/I628,0)</f>
        <v>71.497553240147809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IFERROR(__xludf.DUMMYFUNCTION("IMPORTRANGE(""https://docs.google.com/spreadsheets/d/11923uPwbBZFjjGgGUA6NLw09EwE0CqkOc4q9oUmW1yo/edit?usp=sharing"",""อุตรดิตถ์!I524"")"),823)</f>
        <v>823</v>
      </c>
      <c r="J629" s="341">
        <f ca="1">IFERROR(__xludf.DUMMYFUNCTION("IMPORTRANGE(""https://docs.google.com/spreadsheets/d/11923uPwbBZFjjGgGUA6NLw09EwE0CqkOc4q9oUmW1yo/edit?usp=sharing"",""อุตรดิตถ์!J524"")"),741)</f>
        <v>741</v>
      </c>
      <c r="K629" s="342">
        <f t="shared" ca="1" si="129"/>
        <v>90.036452004860266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1">
        <f ca="1">IFERROR(__xludf.DUMMYFUNCTION("IMPORTRANGE(""https://docs.google.com/spreadsheets/d/11923uPwbBZFjjGgGUA6NLw09EwE0CqkOc4q9oUmW1yo/edit?usp=sharing"",""อุตรดิตถ์!J525"")"),1816740.57)</f>
        <v>1816740.57</v>
      </c>
      <c r="K630" s="342">
        <f t="shared" ca="1" si="129"/>
        <v>9.4071240552613311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IFERROR(__xludf.DUMMYFUNCTION("IMPORTRANGE(""https://docs.google.com/spreadsheets/d/11923uPwbBZFjjGgGUA6NLw09EwE0CqkOc4q9oUmW1yo/edit?usp=sharing"",""อุตรดิตถ์!J526"")"),277)</f>
        <v>277</v>
      </c>
      <c r="K631" s="342">
        <f t="shared" ca="1" si="129"/>
        <v>39.684813753581665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IFERROR(__xludf.DUMMYFUNCTION("IMPORTRANGE(""https://docs.google.com/spreadsheets/d/11923uPwbBZFjjGgGUA6NLw09EwE0CqkOc4q9oUmW1yo/edit?usp=sharing"",""อุตรดิตถ์!J527"")"),314673.81)</f>
        <v>314673.81</v>
      </c>
      <c r="K632" s="342">
        <f t="shared" ca="1" si="129"/>
        <v>11.417678619521945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IFERROR(__xludf.DUMMYFUNCTION("IMPORTRANGE(""https://docs.google.com/spreadsheets/d/11923uPwbBZFjjGgGUA6NLw09EwE0CqkOc4q9oUmW1yo/edit?usp=sharing"",""อุตรดิตถ์!J528"")"),43)</f>
        <v>43</v>
      </c>
      <c r="K633" s="342">
        <f t="shared" ca="1" si="129"/>
        <v>54.430379746835442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IFERROR(__xludf.DUMMYFUNCTION("IMPORTRANGE(""https://docs.google.com/spreadsheets/d/11923uPwbBZFjjGgGUA6NLw09EwE0CqkOc4q9oUmW1yo/edit?usp=sharing"",""อุตรดิตถ์!J529"")"),8535000)</f>
        <v>8535000</v>
      </c>
      <c r="K634" s="342">
        <f t="shared" ca="1" si="129"/>
        <v>56.9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IFERROR(__xludf.DUMMYFUNCTION("IMPORTRANGE(""https://docs.google.com/spreadsheets/d/11923uPwbBZFjjGgGUA6NLw09EwE0CqkOc4q9oUmW1yo/edit?usp=sharing"",""อุตรดิตถ์!I530"")"),400)</f>
        <v>400</v>
      </c>
      <c r="J635" s="504">
        <f ca="1">IFERROR(__xludf.DUMMYFUNCTION("IMPORTRANGE(""https://docs.google.com/spreadsheets/d/11923uPwbBZFjjGgGUA6NLw09EwE0CqkOc4q9oUmW1yo/edit?usp=sharing"",""อุตรดิตถ์!J530"")"),195)</f>
        <v>195</v>
      </c>
      <c r="K635" s="486">
        <f t="shared" ca="1" si="129"/>
        <v>48.75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2420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2420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2420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IFERROR(__xludf.DUMMYFUNCTION("IMPORTRANGE(""https://docs.google.com/spreadsheets/d/11923uPwbBZFjjGgGUA6NLw09EwE0CqkOc4q9oUmW1yo/edit?usp=sharing"",""อุตรดิตถ์!J541"")"),0)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IFERROR(__xludf.DUMMYFUNCTION("IMPORTRANGE(""https://docs.google.com/spreadsheets/d/11923uPwbBZFjjGgGUA6NLw09EwE0CqkOc4q9oUmW1yo/edit?usp=sharing"",""อุตรดิตถ์!J542"")"),0)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IFERROR(__xludf.DUMMYFUNCTION("IMPORTRANGE(""https://docs.google.com/spreadsheets/d/11923uPwbBZFjjGgGUA6NLw09EwE0CqkOc4q9oUmW1yo/edit?usp=sharing"",""อุตรดิตถ์!I543"")"),0)</f>
        <v>0</v>
      </c>
      <c r="J648" s="535">
        <f ca="1">IFERROR(__xludf.DUMMYFUNCTION("IMPORTRANGE(""https://docs.google.com/spreadsheets/d/11923uPwbBZFjjGgGUA6NLw09EwE0CqkOc4q9oUmW1yo/edit?usp=sharing"",""อุตรดิตถ์!J543"")"),0)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IFERROR(__xludf.DUMMYFUNCTION("IMPORTRANGE(""https://docs.google.com/spreadsheets/d/11923uPwbBZFjjGgGUA6NLw09EwE0CqkOc4q9oUmW1yo/edit?usp=sharing"",""อุตรดิตถ์!L543"")"),0)</f>
        <v>0</v>
      </c>
      <c r="M648" s="520"/>
      <c r="N648" s="537">
        <f ca="1">IFERROR(__xludf.DUMMYFUNCTION("IMPORTRANGE(""https://docs.google.com/spreadsheets/d/11923uPwbBZFjjGgGUA6NLw09EwE0CqkOc4q9oUmW1yo/edit?usp=sharing"",""อุตรดิตถ์!M543"")"),0)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IFERROR(__xludf.DUMMYFUNCTION("IMPORTRANGE(""https://docs.google.com/spreadsheets/d/11923uPwbBZFjjGgGUA6NLw09EwE0CqkOc4q9oUmW1yo/edit?usp=sharing"",""อุตรดิตถ์!I544"")"),0)</f>
        <v>0</v>
      </c>
      <c r="J649" s="535">
        <f ca="1">IFERROR(__xludf.DUMMYFUNCTION("IMPORTRANGE(""https://docs.google.com/spreadsheets/d/11923uPwbBZFjjGgGUA6NLw09EwE0CqkOc4q9oUmW1yo/edit?usp=sharing"",""อุตรดิตถ์!J544"")"),0)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IFERROR(__xludf.DUMMYFUNCTION("IMPORTRANGE(""https://docs.google.com/spreadsheets/d/11923uPwbBZFjjGgGUA6NLw09EwE0CqkOc4q9oUmW1yo/edit?usp=sharing"",""อุตรดิตถ์!L544"")"),0)</f>
        <v>0</v>
      </c>
      <c r="M649" s="520"/>
      <c r="N649" s="537">
        <f ca="1">IFERROR(__xludf.DUMMYFUNCTION("IMPORTRANGE(""https://docs.google.com/spreadsheets/d/11923uPwbBZFjjGgGUA6NLw09EwE0CqkOc4q9oUmW1yo/edit?usp=sharing"",""อุตรดิตถ์!M544"")"),0)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IFERROR(__xludf.DUMMYFUNCTION("IMPORTRANGE(""https://docs.google.com/spreadsheets/d/11923uPwbBZFjjGgGUA6NLw09EwE0CqkOc4q9oUmW1yo/edit?usp=sharing"",""อุตรดิตถ์!I545"")"),4)</f>
        <v>4</v>
      </c>
      <c r="J650" s="535">
        <f ca="1">IFERROR(__xludf.DUMMYFUNCTION("IMPORTRANGE(""https://docs.google.com/spreadsheets/d/11923uPwbBZFjjGgGUA6NLw09EwE0CqkOc4q9oUmW1yo/edit?usp=sharing"",""อุตรดิตถ์!J545"")"),0)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IFERROR(__xludf.DUMMYFUNCTION("IMPORTRANGE(""https://docs.google.com/spreadsheets/d/11923uPwbBZFjjGgGUA6NLw09EwE0CqkOc4q9oUmW1yo/edit?usp=sharing"",""อุตรดิตถ์!L545"")"),20)</f>
        <v>20</v>
      </c>
      <c r="M650" s="520"/>
      <c r="N650" s="537">
        <f ca="1">IFERROR(__xludf.DUMMYFUNCTION("IMPORTRANGE(""https://docs.google.com/spreadsheets/d/11923uPwbBZFjjGgGUA6NLw09EwE0CqkOc4q9oUmW1yo/edit?usp=sharing"",""อุตรดิตถ์!M545"")"),0)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IFERROR(__xludf.DUMMYFUNCTION("IMPORTRANGE(""https://docs.google.com/spreadsheets/d/11923uPwbBZFjjGgGUA6NLw09EwE0CqkOc4q9oUmW1yo/edit?usp=sharing"",""อุตรดิตถ์!I546"")"),0)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IFERROR(__xludf.DUMMYFUNCTION("IMPORTRANGE(""https://docs.google.com/spreadsheets/d/11923uPwbBZFjjGgGUA6NLw09EwE0CqkOc4q9oUmW1yo/edit?usp=sharing"",""อุตรดิตถ์!L546"")"),0)</f>
        <v>0</v>
      </c>
      <c r="M651" s="520"/>
      <c r="N651" s="537">
        <f ca="1">IFERROR(__xludf.DUMMYFUNCTION("IMPORTRANGE(""https://docs.google.com/spreadsheets/d/11923uPwbBZFjjGgGUA6NLw09EwE0CqkOc4q9oUmW1yo/edit?usp=sharing"",""อุตรดิตถ์!M546"")"),0)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IFERROR(__xludf.DUMMYFUNCTION("IMPORTRANGE(""https://docs.google.com/spreadsheets/d/11923uPwbBZFjjGgGUA6NLw09EwE0CqkOc4q9oUmW1yo/edit?usp=sharing"",""อุตรดิตถ์!J547"")"),0)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IFERROR(__xludf.DUMMYFUNCTION("IMPORTRANGE(""https://docs.google.com/spreadsheets/d/11923uPwbBZFjjGgGUA6NLw09EwE0CqkOc4q9oUmW1yo/edit?usp=sharing"",""อุตรดิตถ์!J548"")"),0)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IFERROR(__xludf.DUMMYFUNCTION("IMPORTRANGE(""https://docs.google.com/spreadsheets/d/11923uPwbBZFjjGgGUA6NLw09EwE0CqkOc4q9oUmW1yo/edit?usp=sharing"",""อุตรดิตถ์!J550"")"),0)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IFERROR(__xludf.DUMMYFUNCTION("IMPORTRANGE(""https://docs.google.com/spreadsheets/d/11923uPwbBZFjjGgGUA6NLw09EwE0CqkOc4q9oUmW1yo/edit?usp=sharing"",""อุตรดิตถ์!J551"")"),0)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IFERROR(__xludf.DUMMYFUNCTION("IMPORTRANGE(""https://docs.google.com/spreadsheets/d/11923uPwbBZFjjGgGUA6NLw09EwE0CqkOc4q9oUmW1yo/edit?usp=sharing"",""อุตรดิตถ์!J552"")"),0)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IFERROR(__xludf.DUMMYFUNCTION("IMPORTRANGE(""https://docs.google.com/spreadsheets/d/11923uPwbBZFjjGgGUA6NLw09EwE0CqkOc4q9oUmW1yo/edit?usp=sharing"",""อุตรดิตถ์!J553"")"),0)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IFERROR(__xludf.DUMMYFUNCTION("IMPORTRANGE(""https://docs.google.com/spreadsheets/d/11923uPwbBZFjjGgGUA6NLw09EwE0CqkOc4q9oUmW1yo/edit?usp=sharing"",""อุตรดิตถ์!J554"")"),0)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IFERROR(__xludf.DUMMYFUNCTION("IMPORTRANGE(""https://docs.google.com/spreadsheets/d/11923uPwbBZFjjGgGUA6NLw09EwE0CqkOc4q9oUmW1yo/edit?usp=sharing"",""อุตรดิตถ์!J555"")"),0)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IFERROR(__xludf.DUMMYFUNCTION("IMPORTRANGE(""https://docs.google.com/spreadsheets/d/11923uPwbBZFjjGgGUA6NLw09EwE0CqkOc4q9oUmW1yo/edit?usp=sharing"",""อุตรดิตถ์!J556"")"),0)</f>
        <v>0</v>
      </c>
      <c r="K661" s="536"/>
      <c r="L661" s="521">
        <f ca="1">IFERROR(__xludf.DUMMYFUNCTION("IMPORTRANGE(""https://docs.google.com/spreadsheets/d/11923uPwbBZFjjGgGUA6NLw09EwE0CqkOc4q9oUmW1yo/edit?usp=sharing"",""อุตรดิตถ์!L556"")"),2280)</f>
        <v>2280</v>
      </c>
      <c r="M661" s="520"/>
      <c r="N661" s="537">
        <f ca="1">IFERROR(__xludf.DUMMYFUNCTION("IMPORTRANGE(""https://docs.google.com/spreadsheets/d/11923uPwbBZFjjGgGUA6NLw09EwE0CqkOc4q9oUmW1yo/edit?usp=sharing"",""อุตรดิตถ์!M556"")"),0)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IFERROR(__xludf.DUMMYFUNCTION("IMPORTRANGE(""https://docs.google.com/spreadsheets/d/11923uPwbBZFjjGgGUA6NLw09EwE0CqkOc4q9oUmW1yo/edit?usp=sharing"",""อุตรดิตถ์!J557"")"),0)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IFERROR(__xludf.DUMMYFUNCTION("IMPORTRANGE(""https://docs.google.com/spreadsheets/d/11923uPwbBZFjjGgGUA6NLw09EwE0CqkOc4q9oUmW1yo/edit?usp=sharing"",""อุตรดิตถ์!I558"")"),57)</f>
        <v>57</v>
      </c>
      <c r="J663" s="535">
        <f ca="1">IFERROR(__xludf.DUMMYFUNCTION("IMPORTRANGE(""https://docs.google.com/spreadsheets/d/11923uPwbBZFjjGgGUA6NLw09EwE0CqkOc4q9oUmW1yo/edit?usp=sharing"",""อุตรดิตถ์!J558"")"),0)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IFERROR(__xludf.DUMMYFUNCTION("IMPORTRANGE(""https://docs.google.com/spreadsheets/d/11923uPwbBZFjjGgGUA6NLw09EwE0CqkOc4q9oUmW1yo/edit?usp=sharing"",""อุตรดิตถ์!I560"")"),1)</f>
        <v>1</v>
      </c>
      <c r="J665" s="535">
        <f ca="1">IFERROR(__xludf.DUMMYFUNCTION("IMPORTRANGE(""https://docs.google.com/spreadsheets/d/11923uPwbBZFjjGgGUA6NLw09EwE0CqkOc4q9oUmW1yo/edit?usp=sharing"",""อุตรดิตถ์!J560"")"),0)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IFERROR(__xludf.DUMMYFUNCTION("IMPORTRANGE(""https://docs.google.com/spreadsheets/d/11923uPwbBZFjjGgGUA6NLw09EwE0CqkOc4q9oUmW1yo/edit?usp=sharing"",""อุตรดิตถ์!L560"")"),120)</f>
        <v>120</v>
      </c>
      <c r="M665" s="520"/>
      <c r="N665" s="537">
        <f ca="1">IFERROR(__xludf.DUMMYFUNCTION("IMPORTRANGE(""https://docs.google.com/spreadsheets/d/11923uPwbBZFjjGgGUA6NLw09EwE0CqkOc4q9oUmW1yo/edit?usp=sharing"",""อุตรดิตถ์!M560"")"),0)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IFERROR(__xludf.DUMMYFUNCTION("IMPORTRANGE(""https://docs.google.com/spreadsheets/d/11923uPwbBZFjjGgGUA6NLw09EwE0CqkOc4q9oUmW1yo/edit?usp=sharing"",""อุตรดิตถ์!J561"")"),0)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IFERROR(__xludf.DUMMYFUNCTION("IMPORTRANGE(""https://docs.google.com/spreadsheets/d/11923uPwbBZFjjGgGUA6NLw09EwE0CqkOc4q9oUmW1yo/edit?usp=sharing"",""อุตรดิตถ์!J562"")"),0)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IFERROR(__xludf.DUMMYFUNCTION("IMPORTRANGE(""https://docs.google.com/spreadsheets/d/11923uPwbBZFjjGgGUA6NLw09EwE0CqkOc4q9oUmW1yo/edit?usp=sharing"",""อุตรดิตถ์!I563"")"),0)</f>
        <v>0</v>
      </c>
      <c r="J668" s="535">
        <f ca="1">IFERROR(__xludf.DUMMYFUNCTION("IMPORTRANGE(""https://docs.google.com/spreadsheets/d/11923uPwbBZFjjGgGUA6NLw09EwE0CqkOc4q9oUmW1yo/edit?usp=sharing"",""อุตรดิตถ์!J563"")"),0)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IFERROR(__xludf.DUMMYFUNCTION("IMPORTRANGE(""https://docs.google.com/spreadsheets/d/11923uPwbBZFjjGgGUA6NLw09EwE0CqkOc4q9oUmW1yo/edit?usp=sharing"",""อุตรดิตถ์!L563"")"),0)</f>
        <v>0</v>
      </c>
      <c r="M668" s="520"/>
      <c r="N668" s="537">
        <f ca="1">IFERROR(__xludf.DUMMYFUNCTION("IMPORTRANGE(""https://docs.google.com/spreadsheets/d/11923uPwbBZFjjGgGUA6NLw09EwE0CqkOc4q9oUmW1yo/edit?usp=sharing"",""อุตรดิตถ์!M563"")"),0)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IFERROR(__xludf.DUMMYFUNCTION("IMPORTRANGE(""https://docs.google.com/spreadsheets/d/11923uPwbBZFjjGgGUA6NLw09EwE0CqkOc4q9oUmW1yo/edit?usp=sharing"",""อุตรดิตถ์!J564"")"),0)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IFERROR(__xludf.DUMMYFUNCTION("IMPORTRANGE(""https://docs.google.com/spreadsheets/d/11923uPwbBZFjjGgGUA6NLw09EwE0CqkOc4q9oUmW1yo/edit?usp=sharing"",""อุตรดิตถ์!J565"")"),0)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IFERROR(__xludf.DUMMYFUNCTION("IMPORTRANGE(""https://docs.google.com/spreadsheets/d/11923uPwbBZFjjGgGUA6NLw09EwE0CqkOc4q9oUmW1yo/edit?usp=sharing"",""อุตรดิตถ์!I566"")"),0)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IFERROR(__xludf.DUMMYFUNCTION("IMPORTRANGE(""https://docs.google.com/spreadsheets/d/11923uPwbBZFjjGgGUA6NLw09EwE0CqkOc4q9oUmW1yo/edit?usp=sharing"",""อุตรดิตถ์!L566"")"),0)</f>
        <v>0</v>
      </c>
      <c r="M671" s="520"/>
      <c r="N671" s="537">
        <f ca="1">IFERROR(__xludf.DUMMYFUNCTION("IMPORTRANGE(""https://docs.google.com/spreadsheets/d/11923uPwbBZFjjGgGUA6NLw09EwE0CqkOc4q9oUmW1yo/edit?usp=sharing"",""อุตรดิตถ์!M566"")"),0)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IFERROR(__xludf.DUMMYFUNCTION("IMPORTRANGE(""https://docs.google.com/spreadsheets/d/11923uPwbBZFjjGgGUA6NLw09EwE0CqkOc4q9oUmW1yo/edit?usp=sharing"",""อุตรดิตถ์!J567"")"),0)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IFERROR(__xludf.DUMMYFUNCTION("IMPORTRANGE(""https://docs.google.com/spreadsheets/d/11923uPwbBZFjjGgGUA6NLw09EwE0CqkOc4q9oUmW1yo/edit?usp=sharing"",""อุตรดิตถ์!J568"")"),0)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IFERROR(__xludf.DUMMYFUNCTION("IMPORTRANGE(""https://docs.google.com/spreadsheets/d/11923uPwbBZFjjGgGUA6NLw09EwE0CqkOc4q9oUmW1yo/edit?usp=sharing"",""อุตรดิตถ์!J569"")"),0)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IFERROR(__xludf.DUMMYFUNCTION("IMPORTRANGE(""https://docs.google.com/spreadsheets/d/11923uPwbBZFjjGgGUA6NLw09EwE0CqkOc4q9oUmW1yo/edit?usp=sharing"",""อุตรดิตถ์!J570"")"),0)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IFERROR(__xludf.DUMMYFUNCTION("IMPORTRANGE(""https://docs.google.com/spreadsheets/d/11923uPwbBZFjjGgGUA6NLw09EwE0CqkOc4q9oUmW1yo/edit?usp=sharing"",""อุตรดิตถ์!J571"")"),0)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IFERROR(__xludf.DUMMYFUNCTION("IMPORTRANGE(""https://docs.google.com/spreadsheets/d/11923uPwbBZFjjGgGUA6NLw09EwE0CqkOc4q9oUmW1yo/edit?usp=sharing"",""อุตรดิตถ์!J572"")"),0)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292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6720150</v>
      </c>
      <c r="M8" s="23">
        <f t="shared" ca="1" si="0"/>
        <v>3854733</v>
      </c>
      <c r="N8" s="23">
        <f t="shared" ca="1" si="0"/>
        <v>3835870.69</v>
      </c>
      <c r="O8" s="22">
        <f t="shared" ref="O8:O16" ca="1" si="1">IF(L8&gt;0,N8*100/L8,0)</f>
        <v>57.080134967225433</v>
      </c>
      <c r="P8" s="22">
        <f t="shared" ref="P8:P16" ca="1" si="2">IF(M8&gt;0,N8*100/M8,0)</f>
        <v>99.510671426529413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6720150</v>
      </c>
      <c r="M10" s="30">
        <f t="shared" ca="1" si="4"/>
        <v>3854733</v>
      </c>
      <c r="N10" s="30">
        <f t="shared" ca="1" si="4"/>
        <v>3835870.69</v>
      </c>
      <c r="O10" s="29">
        <f t="shared" ca="1" si="1"/>
        <v>57.080134967225433</v>
      </c>
      <c r="P10" s="29">
        <f t="shared" ca="1" si="2"/>
        <v>99.510671426529413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6482750</v>
      </c>
      <c r="M12" s="39">
        <f t="shared" ca="1" si="6"/>
        <v>3617333</v>
      </c>
      <c r="N12" s="39">
        <f t="shared" ca="1" si="6"/>
        <v>3598470.69</v>
      </c>
      <c r="O12" s="39">
        <f t="shared" ca="1" si="1"/>
        <v>55.508398287763683</v>
      </c>
      <c r="P12" s="39">
        <f t="shared" ca="1" si="2"/>
        <v>99.478557545020053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4136750</v>
      </c>
      <c r="M14" s="39">
        <f t="shared" si="8"/>
        <v>0</v>
      </c>
      <c r="N14" s="39">
        <f t="shared" ca="1" si="8"/>
        <v>716726.23</v>
      </c>
      <c r="O14" s="39">
        <f t="shared" ca="1" si="1"/>
        <v>17.325828972019096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237400</v>
      </c>
      <c r="M16" s="39">
        <f t="shared" ca="1" si="10"/>
        <v>237400</v>
      </c>
      <c r="N16" s="39">
        <f t="shared" ca="1" si="10"/>
        <v>237400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3854733</v>
      </c>
      <c r="N18" s="23">
        <f t="shared" ca="1" si="11"/>
        <v>3119144.46</v>
      </c>
      <c r="O18" s="22">
        <f t="shared" ref="O18:O20" ca="1" si="12">IF(L18&gt;0,N18*100/L18,0)</f>
        <v>69.179728328551889</v>
      </c>
      <c r="P18" s="22">
        <f t="shared" ref="P18:P26" ca="1" si="13">IF(M18&gt;0,N18*100/M18,0)</f>
        <v>80.917263530314557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3854733</v>
      </c>
      <c r="N20" s="30">
        <f t="shared" ca="1" si="15"/>
        <v>3119144.46</v>
      </c>
      <c r="O20" s="29">
        <f t="shared" ca="1" si="12"/>
        <v>69.179728328551889</v>
      </c>
      <c r="P20" s="29">
        <f t="shared" ca="1" si="13"/>
        <v>80.917263530314557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4271355</v>
      </c>
      <c r="M22" s="42">
        <f t="shared" ca="1" si="18"/>
        <v>3617333</v>
      </c>
      <c r="N22" s="39">
        <f t="shared" ca="1" si="18"/>
        <v>2881744.46</v>
      </c>
      <c r="O22" s="39">
        <f t="shared" ca="1" si="17"/>
        <v>67.466751417290297</v>
      </c>
      <c r="P22" s="39">
        <f t="shared" ca="1" si="13"/>
        <v>79.664892892083756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1925355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237400</v>
      </c>
      <c r="M26" s="50">
        <f t="shared" ca="1" si="22"/>
        <v>237400</v>
      </c>
      <c r="N26" s="50">
        <f t="shared" ca="1" si="22"/>
        <v>237400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2211395</v>
      </c>
      <c r="M28" s="23">
        <f t="shared" si="23"/>
        <v>0</v>
      </c>
      <c r="N28" s="23">
        <f t="shared" ca="1" si="23"/>
        <v>716726.23</v>
      </c>
      <c r="O28" s="22">
        <f t="shared" ref="O28:O30" ca="1" si="24">IF(L28&gt;0,N28*100/L28,0)</f>
        <v>32.410592861067336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2211395</v>
      </c>
      <c r="M30" s="30">
        <f t="shared" si="27"/>
        <v>0</v>
      </c>
      <c r="N30" s="30">
        <f t="shared" ca="1" si="27"/>
        <v>716726.23</v>
      </c>
      <c r="O30" s="29">
        <f t="shared" ca="1" si="24"/>
        <v>32.410592861067336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2211395</v>
      </c>
      <c r="M32" s="39">
        <f t="shared" si="30"/>
        <v>0</v>
      </c>
      <c r="N32" s="39">
        <f t="shared" ca="1" si="30"/>
        <v>716726.23</v>
      </c>
      <c r="O32" s="39">
        <f t="shared" ca="1" si="29"/>
        <v>32.410592861067336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2211395</v>
      </c>
      <c r="M34" s="39">
        <f t="shared" si="32"/>
        <v>0</v>
      </c>
      <c r="N34" s="39">
        <f t="shared" ca="1" si="32"/>
        <v>716726.23</v>
      </c>
      <c r="O34" s="39">
        <f t="shared" ca="1" si="29"/>
        <v>32.410592861067336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4508755</v>
      </c>
      <c r="M37" s="55">
        <f t="shared" ca="1" si="33"/>
        <v>3854733</v>
      </c>
      <c r="N37" s="55">
        <f t="shared" ca="1" si="33"/>
        <v>3119144.46</v>
      </c>
      <c r="O37" s="56">
        <f t="shared" ca="1" si="29"/>
        <v>69.179728328551889</v>
      </c>
      <c r="P37" s="56">
        <f t="shared" ca="1" si="25"/>
        <v>80.917263530314557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588100</v>
      </c>
      <c r="N41" s="79">
        <f t="shared" ca="1" si="34"/>
        <v>536919.61</v>
      </c>
      <c r="O41" s="78">
        <f t="shared" ref="O41:O43" ca="1" si="35">IF(L41&gt;0,N41*100/L41,0)</f>
        <v>68.475909960464222</v>
      </c>
      <c r="P41" s="78">
        <f t="shared" ref="P41:P43" ca="1" si="36">IF(M41&gt;0,N41*100/M41,0)</f>
        <v>91.297332086379868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588100</v>
      </c>
      <c r="N43" s="79">
        <f t="shared" ca="1" si="38"/>
        <v>536919.61</v>
      </c>
      <c r="O43" s="78">
        <f t="shared" ca="1" si="35"/>
        <v>68.475909960464222</v>
      </c>
      <c r="P43" s="78">
        <f t="shared" ca="1" si="36"/>
        <v>91.297332086379868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IFERROR(__xludf.DUMMYFUNCTION("IMPORTRANGE(""https://docs.google.com/spreadsheets/d/1Yj_ptqi66GCucihVvJfMjLAmec39IyEx_6qawtMGysU/edit?usp=sharing"",""สบก!Q36"")"),588100)</f>
        <v>588100</v>
      </c>
      <c r="N45" s="50">
        <f ca="1">IFERROR(__xludf.DUMMYFUNCTION("IMPORTRANGE(""https://docs.google.com/spreadsheets/d/1Yj_ptqi66GCucihVvJfMjLAmec39IyEx_6qawtMGysU/edit?usp=sharing"",""สบก!R36"")"),536919.61)</f>
        <v>536919.61</v>
      </c>
      <c r="O45" s="39">
        <f ca="1">IF(L45&gt;0,N45*100/L45,0)</f>
        <v>68.475909960464222</v>
      </c>
      <c r="P45" s="39">
        <f ca="1">IF(M45&gt;0,N45*100/M45,0)</f>
        <v>91.297332086379868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591558</v>
      </c>
      <c r="N53" s="121">
        <f t="shared" ca="1" si="39"/>
        <v>555350</v>
      </c>
      <c r="O53" s="120">
        <f t="shared" ref="O53:O55" ca="1" si="40">IF(L53&gt;0,N53*100/L53,0)</f>
        <v>74.046666666666667</v>
      </c>
      <c r="P53" s="120">
        <f t="shared" ref="P53:P55" ca="1" si="41">IF(M53&gt;0,N53*100/M53,0)</f>
        <v>93.879213872519685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591558</v>
      </c>
      <c r="N55" s="121">
        <f t="shared" ca="1" si="43"/>
        <v>555350</v>
      </c>
      <c r="O55" s="120">
        <f t="shared" ca="1" si="40"/>
        <v>74.046666666666667</v>
      </c>
      <c r="P55" s="120">
        <f t="shared" ca="1" si="41"/>
        <v>93.879213872519685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IFERROR(__xludf.DUMMYFUNCTION("IMPORTRANGE(""https://docs.google.com/spreadsheets/d/1Yj_ptqi66GCucihVvJfMjLAmec39IyEx_6qawtMGysU/edit?usp=sharing"",""สบก!Z36"")"),591558)</f>
        <v>591558</v>
      </c>
      <c r="N57" s="50">
        <f ca="1">IFERROR(__xludf.DUMMYFUNCTION("IMPORTRANGE(""https://docs.google.com/spreadsheets/d/1Yj_ptqi66GCucihVvJfMjLAmec39IyEx_6qawtMGysU/edit?usp=sharing"",""สบก!AA36"")"),555350)</f>
        <v>555350</v>
      </c>
      <c r="O57" s="39">
        <f ca="1">IF(L57&gt;0,N57*100/L57,0)</f>
        <v>74.046666666666667</v>
      </c>
      <c r="P57" s="39">
        <f ca="1">IF(M57&gt;0,N57*100/M57,0)</f>
        <v>93.879213872519685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708200</v>
      </c>
      <c r="N66" s="152">
        <f t="shared" ca="1" si="45"/>
        <v>465207.85</v>
      </c>
      <c r="O66" s="151">
        <f t="shared" ref="O66:O68" ca="1" si="46">IF(L66&gt;0,N66*100/L66,0)</f>
        <v>56.082923447860153</v>
      </c>
      <c r="P66" s="151">
        <f t="shared" ref="P66:P68" ca="1" si="47">IF(M66&gt;0,N66*100/M66,0)</f>
        <v>65.68876729737363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708200</v>
      </c>
      <c r="N68" s="88">
        <f t="shared" ca="1" si="49"/>
        <v>465207.85</v>
      </c>
      <c r="O68" s="156">
        <f t="shared" ca="1" si="46"/>
        <v>56.082923447860153</v>
      </c>
      <c r="P68" s="156">
        <f t="shared" ca="1" si="47"/>
        <v>65.68876729737363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IFERROR(__xludf.DUMMYFUNCTION("IMPORTRANGE(""https://docs.google.com/spreadsheets/d/1Yj_ptqi66GCucihVvJfMjLAmec39IyEx_6qawtMGysU/edit?usp=sharing"",""สบก!AI36"")"),708200)</f>
        <v>708200</v>
      </c>
      <c r="N70" s="168">
        <f ca="1">IFERROR(__xludf.DUMMYFUNCTION("IMPORTRANGE(""https://docs.google.com/spreadsheets/d/1Yj_ptqi66GCucihVvJfMjLAmec39IyEx_6qawtMGysU/edit?usp=sharing"",""สบก!AJ36"")"),465207.85)</f>
        <v>465207.85</v>
      </c>
      <c r="O70" s="168">
        <f ca="1">IF(L70&gt;0,N70*100/L70,0)</f>
        <v>56.082923447860153</v>
      </c>
      <c r="P70" s="168">
        <f ca="1">IF(M70&gt;0,N70*100/M70,0)</f>
        <v>65.68876729737363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109350</v>
      </c>
      <c r="O94" s="151">
        <f t="shared" ref="O94:O96" ca="1" si="53">IF(L94&gt;0,N94*100/L94,0)</f>
        <v>50.97902097902098</v>
      </c>
      <c r="P94" s="151">
        <f t="shared" ref="P94:P96" ca="1" si="54">IF(M94&gt;0,N94*100/M94,0)</f>
        <v>56.234090149391889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109350</v>
      </c>
      <c r="O96" s="156">
        <f t="shared" ca="1" si="53"/>
        <v>50.97902097902098</v>
      </c>
      <c r="P96" s="156">
        <f t="shared" ca="1" si="54"/>
        <v>56.234090149391889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IFERROR(__xludf.DUMMYFUNCTION("IMPORTRANGE(""https://docs.google.com/spreadsheets/d/1Yj_ptqi66GCucihVvJfMjLAmec39IyEx_6qawtMGysU/edit?usp=sharing"",""สบก!AR36"")"),102055)</f>
        <v>102055</v>
      </c>
      <c r="N98" s="168">
        <f ca="1">IFERROR(__xludf.DUMMYFUNCTION("IMPORTRANGE(""https://docs.google.com/spreadsheets/d/1Yj_ptqi66GCucihVvJfMjLAmec39IyEx_6qawtMGysU/edit?usp=sharing"",""สบก!AS36"")"),16950)</f>
        <v>16950</v>
      </c>
      <c r="O98" s="168">
        <f ca="1">IF(L98&gt;0,N98*100/L98,0)</f>
        <v>13.882063882063882</v>
      </c>
      <c r="P98" s="168">
        <f ca="1">IF(M98&gt;0,N98*100/M98,0)</f>
        <v>16.608691391896528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101725</v>
      </c>
      <c r="N140" s="152">
        <f t="shared" ca="1" si="64"/>
        <v>47290</v>
      </c>
      <c r="O140" s="151">
        <f t="shared" ref="O140:O142" ca="1" si="65">IF(L140&gt;0,N140*100/L140,0)</f>
        <v>56.634730538922156</v>
      </c>
      <c r="P140" s="151">
        <f t="shared" ref="P140:P142" ca="1" si="66">IF(M140&gt;0,N140*100/M140,0)</f>
        <v>46.48808060948636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83500</v>
      </c>
      <c r="M142" s="88">
        <f t="shared" ca="1" si="68"/>
        <v>101725</v>
      </c>
      <c r="N142" s="88">
        <f t="shared" ca="1" si="68"/>
        <v>47290</v>
      </c>
      <c r="O142" s="156">
        <f t="shared" ca="1" si="65"/>
        <v>56.634730538922156</v>
      </c>
      <c r="P142" s="156">
        <f t="shared" ca="1" si="66"/>
        <v>46.48808060948636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IFERROR(__xludf.DUMMYFUNCTION("IMPORTRANGE(""https://docs.google.com/spreadsheets/d/1Yj_ptqi66GCucihVvJfMjLAmec39IyEx_6qawtMGysU/edit?usp=sharing"",""สบก!BJ36"")"),101725)</f>
        <v>101725</v>
      </c>
      <c r="N144" s="168">
        <f ca="1">IFERROR(__xludf.DUMMYFUNCTION("IMPORTRANGE(""https://docs.google.com/spreadsheets/d/1Yj_ptqi66GCucihVvJfMjLAmec39IyEx_6qawtMGysU/edit?usp=sharing"",""สบก!BK36"")"),47290)</f>
        <v>47290</v>
      </c>
      <c r="O144" s="168">
        <f ca="1">IF(L144&gt;0,N144*100/L144,0)</f>
        <v>56.634730538922156</v>
      </c>
      <c r="P144" s="168">
        <f ca="1">IF(M144&gt;0,N144*100/M144,0)</f>
        <v>46.48808060948636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125359</v>
      </c>
      <c r="O250" s="151">
        <f t="shared" ref="O250:O252" ca="1" si="78">IF(L250&gt;0,N250*100/L250,0)</f>
        <v>61.631760078662737</v>
      </c>
      <c r="P250" s="151">
        <f t="shared" ref="P250:P252" ca="1" si="79">IF(M250&gt;0,N250*100/M250,0)</f>
        <v>88.907092198581566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125359</v>
      </c>
      <c r="O252" s="156">
        <f t="shared" ca="1" si="78"/>
        <v>61.631760078662737</v>
      </c>
      <c r="P252" s="156">
        <f t="shared" ca="1" si="79"/>
        <v>88.907092198581566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IFERROR(__xludf.DUMMYFUNCTION("IMPORTRANGE(""https://docs.google.com/spreadsheets/d/1Yj_ptqi66GCucihVvJfMjLAmec39IyEx_6qawtMGysU/edit?usp=sharing"",""สบก!CB36"")"),141000)</f>
        <v>141000</v>
      </c>
      <c r="N254" s="168">
        <f ca="1">IFERROR(__xludf.DUMMYFUNCTION("IMPORTRANGE(""https://docs.google.com/spreadsheets/d/1Yj_ptqi66GCucihVvJfMjLAmec39IyEx_6qawtMGysU/edit?usp=sharing"",""สบก!CC36"")"),125359)</f>
        <v>125359</v>
      </c>
      <c r="O254" s="168">
        <f ca="1">IF(L254&gt;0,N254*100/L254,0)</f>
        <v>61.631760078662737</v>
      </c>
      <c r="P254" s="168">
        <f ca="1">IF(M254&gt;0,N254*100/M254,0)</f>
        <v>88.907092198581566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143212</v>
      </c>
      <c r="O271" s="151">
        <f t="shared" ref="O271:O273" ca="1" si="84">IF(L271&gt;0,N271*100/L271,0)</f>
        <v>78.002178649237479</v>
      </c>
      <c r="P271" s="151">
        <f t="shared" ref="P271:P273" ca="1" si="85">IF(M271&gt;0,N271*100/M271,0)</f>
        <v>88.621287128712865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143212</v>
      </c>
      <c r="O273" s="156">
        <f t="shared" ca="1" si="84"/>
        <v>78.002178649237479</v>
      </c>
      <c r="P273" s="156">
        <f t="shared" ca="1" si="85"/>
        <v>88.621287128712865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IFERROR(__xludf.DUMMYFUNCTION("IMPORTRANGE(""https://docs.google.com/spreadsheets/d/1Yj_ptqi66GCucihVvJfMjLAmec39IyEx_6qawtMGysU/edit?usp=sharing"",""สบก!CK36"")"),161600)</f>
        <v>161600</v>
      </c>
      <c r="N275" s="168">
        <f ca="1">IFERROR(__xludf.DUMMYFUNCTION("IMPORTRANGE(""https://docs.google.com/spreadsheets/d/1Yj_ptqi66GCucihVvJfMjLAmec39IyEx_6qawtMGysU/edit?usp=sharing"",""สบก!CL36"")"),143212)</f>
        <v>143212</v>
      </c>
      <c r="O275" s="168">
        <f ca="1">IF(L275&gt;0,N275*100/L275,0)</f>
        <v>78.002178649237479</v>
      </c>
      <c r="P275" s="168">
        <f ca="1">IF(M275&gt;0,N275*100/M275,0)</f>
        <v>88.621287128712865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50045</v>
      </c>
      <c r="O290" s="151">
        <f t="shared" ref="O290:O292" ca="1" si="89">IF(L290&gt;0,N290*100/L290,0)</f>
        <v>41.441702550513412</v>
      </c>
      <c r="P290" s="151">
        <f t="shared" ref="P290:P292" ca="1" si="90">IF(M290&gt;0,N290*100/M290,0)</f>
        <v>41.441702550513412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50045</v>
      </c>
      <c r="O292" s="156">
        <f t="shared" ca="1" si="89"/>
        <v>41.441702550513412</v>
      </c>
      <c r="P292" s="156">
        <f t="shared" ca="1" si="90"/>
        <v>41.441702550513412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IFERROR(__xludf.DUMMYFUNCTION("IMPORTRANGE(""https://docs.google.com/spreadsheets/d/1Yj_ptqi66GCucihVvJfMjLAmec39IyEx_6qawtMGysU/edit?usp=sharing"",""สบก!CU36"")"),50045)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262600</v>
      </c>
      <c r="M310" s="152">
        <f t="shared" ca="1" si="93"/>
        <v>384500</v>
      </c>
      <c r="N310" s="152">
        <f t="shared" ca="1" si="93"/>
        <v>313745</v>
      </c>
      <c r="O310" s="151">
        <f t="shared" ref="O310:O312" ca="1" si="94">IF(L310&gt;0,N310*100/L310,0)</f>
        <v>119.47638994668698</v>
      </c>
      <c r="P310" s="151">
        <f t="shared" ref="P310:P312" ca="1" si="95">IF(M310&gt;0,N310*100/M310,0)</f>
        <v>81.598179453836153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262600</v>
      </c>
      <c r="M312" s="88">
        <f t="shared" ca="1" si="97"/>
        <v>384500</v>
      </c>
      <c r="N312" s="88">
        <f t="shared" ca="1" si="97"/>
        <v>313745</v>
      </c>
      <c r="O312" s="156">
        <f t="shared" ca="1" si="94"/>
        <v>119.47638994668698</v>
      </c>
      <c r="P312" s="156">
        <f t="shared" ca="1" si="95"/>
        <v>81.598179453836153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IFERROR(__xludf.DUMMYFUNCTION("IMPORTRANGE(""https://docs.google.com/spreadsheets/d/1Yj_ptqi66GCucihVvJfMjLAmec39IyEx_6qawtMGysU/edit?usp=sharing"",""สบก!DC36"")"),384500)</f>
        <v>384500</v>
      </c>
      <c r="N314" s="168">
        <f ca="1">IFERROR(__xludf.DUMMYFUNCTION("IMPORTRANGE(""https://docs.google.com/spreadsheets/d/1Yj_ptqi66GCucihVvJfMjLAmec39IyEx_6qawtMGysU/edit?usp=sharing"",""สบก!DD36"")"),313745)</f>
        <v>313745</v>
      </c>
      <c r="O314" s="168">
        <f ca="1">IF(L314&gt;0,N314*100/L314,0)</f>
        <v>119.47638994668698</v>
      </c>
      <c r="P314" s="168">
        <f ca="1">IF(M314&gt;0,N314*100/M314,0)</f>
        <v>81.598179453836153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IFERROR(__xludf.DUMMYFUNCTION("IMPORTRANGE(""https://docs.google.com/spreadsheets/d/11923uPwbBZFjjGgGUA6NLw09EwE0CqkOc4q9oUmW1yo/edit?usp=sharing"",""อุทัยธานี!J228"")"),99)</f>
        <v>99</v>
      </c>
      <c r="K328" s="317">
        <f ca="1">IF(I328&gt;0,J328*100/I328,0)</f>
        <v>46.046511627906973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1055670</v>
      </c>
      <c r="M329" s="152">
        <f t="shared" ca="1" si="98"/>
        <v>841710</v>
      </c>
      <c r="N329" s="152">
        <f t="shared" ca="1" si="98"/>
        <v>752161</v>
      </c>
      <c r="O329" s="151">
        <f t="shared" ref="O329:O331" ca="1" si="99">IF(L329&gt;0,N329*100/L329,0)</f>
        <v>71.249632934534461</v>
      </c>
      <c r="P329" s="151">
        <f t="shared" ref="P329:P331" ca="1" si="100">IF(M329&gt;0,N329*100/M329,0)</f>
        <v>89.361062598757286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1055670</v>
      </c>
      <c r="M331" s="88">
        <f t="shared" ca="1" si="102"/>
        <v>841710</v>
      </c>
      <c r="N331" s="88">
        <f t="shared" ca="1" si="102"/>
        <v>752161</v>
      </c>
      <c r="O331" s="156">
        <f t="shared" ca="1" si="99"/>
        <v>71.249632934534461</v>
      </c>
      <c r="P331" s="156">
        <f t="shared" ca="1" si="100"/>
        <v>89.361062598757286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IFERROR(__xludf.DUMMYFUNCTION("IMPORTRANGE(""https://docs.google.com/spreadsheets/d/1Yj_ptqi66GCucihVvJfMjLAmec39IyEx_6qawtMGysU/edit?usp=sharing"",""สบก!DL36"")"),696710)</f>
        <v>696710</v>
      </c>
      <c r="N333" s="168">
        <f ca="1">IFERROR(__xludf.DUMMYFUNCTION("IMPORTRANGE(""https://docs.google.com/spreadsheets/d/1Yj_ptqi66GCucihVvJfMjLAmec39IyEx_6qawtMGysU/edit?usp=sharing"",""สบก!DM36"")"),607161)</f>
        <v>607161</v>
      </c>
      <c r="O333" s="168">
        <f ca="1">IF(L333&gt;0,N333*100/L333,0)</f>
        <v>66.671900908122595</v>
      </c>
      <c r="P333" s="168">
        <f ca="1">IF(M333&gt;0,N333*100/M333,0)</f>
        <v>87.146876031634392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IFERROR(__xludf.DUMMYFUNCTION("IMPORTRANGE(""https://docs.google.com/spreadsheets/d/1Yj_ptqi66GCucihVvJfMjLAmec39IyEx_6qawtMGysU/edit?usp=sharing"",""สบก!DJ36"")"),145000)</f>
        <v>145000</v>
      </c>
      <c r="M337" s="50">
        <f ca="1">L337</f>
        <v>145000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IFERROR(__xludf.DUMMYFUNCTION("IMPORTRANGE(""https://docs.google.com/spreadsheets/d/11923uPwbBZFjjGgGUA6NLw09EwE0CqkOc4q9oUmW1yo/edit?usp=sharing"",""อุทัยธานี!J234"")"),136)</f>
        <v>136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IFERROR(__xludf.DUMMYFUNCTION("IMPORTRANGE(""https://docs.google.com/spreadsheets/d/11923uPwbBZFjjGgGUA6NLw09EwE0CqkOc4q9oUmW1yo/edit?usp=sharing"",""อุทัยธานี!J235"")"),1398.37)</f>
        <v>1398.37</v>
      </c>
      <c r="K340" s="342">
        <f t="shared" ca="1" si="103"/>
        <v>69.918499999999995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IFERROR(__xludf.DUMMYFUNCTION("IMPORTRANGE(""https://docs.google.com/spreadsheets/d/11923uPwbBZFjjGgGUA6NLw09EwE0CqkOc4q9oUmW1yo/edit?usp=sharing"",""อุทัยธานี!J236"")"),172)</f>
        <v>172</v>
      </c>
      <c r="K341" s="342">
        <f t="shared" ca="1" si="103"/>
        <v>80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IFERROR(__xludf.DUMMYFUNCTION("IMPORTRANGE(""https://docs.google.com/spreadsheets/d/11923uPwbBZFjjGgGUA6NLw09EwE0CqkOc4q9oUmW1yo/edit?usp=sharing"",""อุทัยธานี!J237"")"),2342.16)</f>
        <v>2342.16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IFERROR(__xludf.DUMMYFUNCTION("IMPORTRANGE(""https://docs.google.com/spreadsheets/d/11923uPwbBZFjjGgGUA6NLw09EwE0CqkOc4q9oUmW1yo/edit?usp=sharing"",""อุทัยธานี!J240"")"),99)</f>
        <v>99</v>
      </c>
      <c r="K345" s="342">
        <f t="shared" ca="1" si="103"/>
        <v>46.046511627906973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IFERROR(__xludf.DUMMYFUNCTION("IMPORTRANGE(""https://docs.google.com/spreadsheets/d/11923uPwbBZFjjGgGUA6NLw09EwE0CqkOc4q9oUmW1yo/edit?usp=sharing"",""อุทัยธานี!J241"")"),1626.66999999999)</f>
        <v>1626.6699999999901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IFERROR(__xludf.DUMMYFUNCTION("IMPORTRANGE(""https://docs.google.com/spreadsheets/d/11923uPwbBZFjjGgGUA6NLw09EwE0CqkOc4q9oUmW1yo/edit?usp=sharing"",""อุทัยธานี!L242"")"),2211395)</f>
        <v>2211395</v>
      </c>
      <c r="M347" s="357"/>
      <c r="N347" s="357">
        <f ca="1">IFERROR(__xludf.DUMMYFUNCTION("IMPORTRANGE(""https://docs.google.com/spreadsheets/d/11923uPwbBZFjjGgGUA6NLw09EwE0CqkOc4q9oUmW1yo/edit?usp=sharing"",""อุทัยธานี!M242"")"),716726.23)</f>
        <v>716726.23</v>
      </c>
      <c r="O347" s="357">
        <f ca="1">+IF(L347&gt;0,N347*100/L347,0)</f>
        <v>32.410592861067336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IFERROR(__xludf.DUMMYFUNCTION("IMPORTRANGE(""https://docs.google.com/spreadsheets/d/11923uPwbBZFjjGgGUA6NLw09EwE0CqkOc4q9oUmW1yo/edit?usp=sharing"",""อุทัยธานี!M244"")"),155842.9)</f>
        <v>155842.9</v>
      </c>
      <c r="O349" s="372">
        <f ca="1">+IF(L349&gt;0,N349*100/L349,0)</f>
        <v>51.406155165589126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IFERROR(__xludf.DUMMYFUNCTION("IMPORTRANGE(""https://docs.google.com/spreadsheets/d/11923uPwbBZFjjGgGUA6NLw09EwE0CqkOc4q9oUmW1yo/edit?usp=sharing"",""อุทัยธานี!M247"")"),155842.9)</f>
        <v>155842.9</v>
      </c>
      <c r="O352" s="165">
        <f t="shared" ca="1" si="105"/>
        <v>51.406155165589126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IFERROR(__xludf.DUMMYFUNCTION("IMPORTRANGE(""https://docs.google.com/spreadsheets/d/11923uPwbBZFjjGgGUA6NLw09EwE0CqkOc4q9oUmW1yo/edit?usp=sharing"",""อุทัยธานี!M249"")"),155842.9)</f>
        <v>155842.9</v>
      </c>
      <c r="O354" s="168">
        <f t="shared" ca="1" si="105"/>
        <v>51.406155165589126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IFERROR(__xludf.DUMMYFUNCTION("IMPORTRANGE(""https://docs.google.com/spreadsheets/d/11923uPwbBZFjjGgGUA6NLw09EwE0CqkOc4q9oUmW1yo/edit?usp=sharing"",""อุทัยธานี!M251"")"),0)</f>
        <v>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IFERROR(__xludf.DUMMYFUNCTION("IMPORTRANGE(""https://docs.google.com/spreadsheets/d/11923uPwbBZFjjGgGUA6NLw09EwE0CqkOc4q9oUmW1yo/edit?usp=sharing"",""อุทัยธานี!M252"")"),81013)</f>
        <v>81013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IFERROR(__xludf.DUMMYFUNCTION("IMPORTRANGE(""https://docs.google.com/spreadsheets/d/11923uPwbBZFjjGgGUA6NLw09EwE0CqkOc4q9oUmW1yo/edit?usp=sharing"",""อุทัยธานี!M253"")"),24429.9)</f>
        <v>24429.9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IFERROR(__xludf.DUMMYFUNCTION("IMPORTRANGE(""https://docs.google.com/spreadsheets/d/11923uPwbBZFjjGgGUA6NLw09EwE0CqkOc4q9oUmW1yo/edit?usp=sharing"",""อุทัยธานี!M275"")"),203952)</f>
        <v>203952</v>
      </c>
      <c r="O380" s="372">
        <f ca="1">+IF(L380&gt;0,N380*100/L380,0)</f>
        <v>19.829658149574147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IFERROR(__xludf.DUMMYFUNCTION("IMPORTRANGE(""https://docs.google.com/spreadsheets/d/11923uPwbBZFjjGgGUA6NLw09EwE0CqkOc4q9oUmW1yo/edit?usp=sharing"",""อุทัยธานี!M278"")"),203952)</f>
        <v>203952</v>
      </c>
      <c r="O383" s="165">
        <f t="shared" ca="1" si="109"/>
        <v>19.829658149574147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IFERROR(__xludf.DUMMYFUNCTION("IMPORTRANGE(""https://docs.google.com/spreadsheets/d/11923uPwbBZFjjGgGUA6NLw09EwE0CqkOc4q9oUmW1yo/edit?usp=sharing"",""อุทัยธานี!M280"")"),203952)</f>
        <v>203952</v>
      </c>
      <c r="O385" s="168">
        <f t="shared" ca="1" si="109"/>
        <v>19.829658149574147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IFERROR(__xludf.DUMMYFUNCTION("IMPORTRANGE(""https://docs.google.com/spreadsheets/d/11923uPwbBZFjjGgGUA6NLw09EwE0CqkOc4q9oUmW1yo/edit?usp=sharing"",""อุทัยธานี!M281"")"),125940)</f>
        <v>125940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IFERROR(__xludf.DUMMYFUNCTION("IMPORTRANGE(""https://docs.google.com/spreadsheets/d/11923uPwbBZFjjGgGUA6NLw09EwE0CqkOc4q9oUmW1yo/edit?usp=sharing"",""อุทัยธานี!M283"")"),60652)</f>
        <v>60652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IFERROR(__xludf.DUMMYFUNCTION("IMPORTRANGE(""https://docs.google.com/spreadsheets/d/11923uPwbBZFjjGgGUA6NLw09EwE0CqkOc4q9oUmW1yo/edit?usp=sharing"",""อุทัยธานี!M284"")"),17360)</f>
        <v>17360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IFERROR(__xludf.DUMMYFUNCTION("IMPORTRANGE(""https://docs.google.com/spreadsheets/d/11923uPwbBZFjjGgGUA6NLw09EwE0CqkOc4q9oUmW1yo/edit?usp=sharing"",""อุทัยธานี!M296"")"),140910)</f>
        <v>140910</v>
      </c>
      <c r="O401" s="372">
        <f ca="1">+IF(L401&gt;0,N401*100/L401,0)</f>
        <v>79.207419898819566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IFERROR(__xludf.DUMMYFUNCTION("IMPORTRANGE(""https://docs.google.com/spreadsheets/d/11923uPwbBZFjjGgGUA6NLw09EwE0CqkOc4q9oUmW1yo/edit?usp=sharing"",""อุทัยธานี!J297"")"),30)</f>
        <v>30</v>
      </c>
      <c r="K402" s="371">
        <f t="shared" ca="1" si="111"/>
        <v>60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IFERROR(__xludf.DUMMYFUNCTION("IMPORTRANGE(""https://docs.google.com/spreadsheets/d/11923uPwbBZFjjGgGUA6NLw09EwE0CqkOc4q9oUmW1yo/edit?usp=sharing"",""อุทัยธานี!M299"")"),140910)</f>
        <v>140910</v>
      </c>
      <c r="O404" s="168">
        <f t="shared" ca="1" si="112"/>
        <v>79.207419898819566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IFERROR(__xludf.DUMMYFUNCTION("IMPORTRANGE(""https://docs.google.com/spreadsheets/d/11923uPwbBZFjjGgGUA6NLw09EwE0CqkOc4q9oUmW1yo/edit?usp=sharing"",""อุทัยธานี!M301"")"),140910)</f>
        <v>140910</v>
      </c>
      <c r="O406" s="168">
        <f t="shared" ca="1" si="112"/>
        <v>79.207419898819566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IFERROR(__xludf.DUMMYFUNCTION("IMPORTRANGE(""https://docs.google.com/spreadsheets/d/11923uPwbBZFjjGgGUA6NLw09EwE0CqkOc4q9oUmW1yo/edit?usp=sharing"",""อุทัยธานี!M302"")"),92350)</f>
        <v>92350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IFERROR(__xludf.DUMMYFUNCTION("IMPORTRANGE(""https://docs.google.com/spreadsheets/d/11923uPwbBZFjjGgGUA6NLw09EwE0CqkOc4q9oUmW1yo/edit?usp=sharing"",""อุทัยธานี!M303"")"),30000)</f>
        <v>30000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IFERROR(__xludf.DUMMYFUNCTION("IMPORTRANGE(""https://docs.google.com/spreadsheets/d/11923uPwbBZFjjGgGUA6NLw09EwE0CqkOc4q9oUmW1yo/edit?usp=sharing"",""อุทัยธานี!M305"")"),18560)</f>
        <v>18560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IFERROR(__xludf.DUMMYFUNCTION("IMPORTRANGE(""https://docs.google.com/spreadsheets/d/11923uPwbBZFjjGgGUA6NLw09EwE0CqkOc4q9oUmW1yo/edit?usp=sharing"",""อุทัยธานี!J311"")"),30)</f>
        <v>30</v>
      </c>
      <c r="K416" s="201">
        <f t="shared" ref="K416:K432" ca="1" si="113">IF(I416&gt;0,J416*100/I416,0)</f>
        <v>60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IFERROR(__xludf.DUMMYFUNCTION("IMPORTRANGE(""https://docs.google.com/spreadsheets/d/11923uPwbBZFjjGgGUA6NLw09EwE0CqkOc4q9oUmW1yo/edit?usp=sharing"",""อุทัยธานี!L350"")"),320488)</f>
        <v>320488</v>
      </c>
      <c r="M455" s="372"/>
      <c r="N455" s="372">
        <f ca="1">IFERROR(__xludf.DUMMYFUNCTION("IMPORTRANGE(""https://docs.google.com/spreadsheets/d/11923uPwbBZFjjGgGUA6NLw09EwE0CqkOc4q9oUmW1yo/edit?usp=sharing"",""อุทัยธานี!M350"")"),47570)</f>
        <v>47570</v>
      </c>
      <c r="O455" s="372">
        <f t="shared" ref="O455:O459" ca="1" si="116">+IF(L455&gt;0,N455*100/L455,0)</f>
        <v>14.842989441102318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IFERROR(__xludf.DUMMYFUNCTION("IMPORTRANGE(""https://docs.google.com/spreadsheets/d/11923uPwbBZFjjGgGUA6NLw09EwE0CqkOc4q9oUmW1yo/edit?usp=sharing"",""อุทัยธานี!L352"")"),320488)</f>
        <v>320488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IFERROR(__xludf.DUMMYFUNCTION("IMPORTRANGE(""https://docs.google.com/spreadsheets/d/11923uPwbBZFjjGgGUA6NLw09EwE0CqkOc4q9oUmW1yo/edit?usp=sharing"",""อุทัยธานี!M352"")"),47570)</f>
        <v>47570</v>
      </c>
      <c r="O457" s="168">
        <f t="shared" ca="1" si="116"/>
        <v>14.842989441102318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IFERROR(__xludf.DUMMYFUNCTION("IMPORTRANGE(""https://docs.google.com/spreadsheets/d/11923uPwbBZFjjGgGUA6NLw09EwE0CqkOc4q9oUmW1yo/edit?usp=sharing"",""อุทัยธานี!L354"")"),320488)</f>
        <v>320488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IFERROR(__xludf.DUMMYFUNCTION("IMPORTRANGE(""https://docs.google.com/spreadsheets/d/11923uPwbBZFjjGgGUA6NLw09EwE0CqkOc4q9oUmW1yo/edit?usp=sharing"",""อุทัยธานี!M354"")"),47570)</f>
        <v>47570</v>
      </c>
      <c r="O459" s="168">
        <f t="shared" ca="1" si="116"/>
        <v>14.842989441102318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IFERROR(__xludf.DUMMYFUNCTION("IMPORTRANGE(""https://docs.google.com/spreadsheets/d/11923uPwbBZFjjGgGUA6NLw09EwE0CqkOc4q9oUmW1yo/edit?usp=sharing"",""อุทัยธานี!M358"")"),47570)</f>
        <v>47570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IFERROR(__xludf.DUMMYFUNCTION("IMPORTRANGE(""https://docs.google.com/spreadsheets/d/11923uPwbBZFjjGgGUA6NLw09EwE0CqkOc4q9oUmW1yo/edit?usp=sharing"",""อุทัยธานี!J378"")"),17805)</f>
        <v>17805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IFERROR(__xludf.DUMMYFUNCTION("IMPORTRANGE(""https://docs.google.com/spreadsheets/d/11923uPwbBZFjjGgGUA6NLw09EwE0CqkOc4q9oUmW1yo/edit?usp=sharing"",""อุทัยธานี!J380"")"),5029)</f>
        <v>5029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IFERROR(__xludf.DUMMYFUNCTION("IMPORTRANGE(""https://docs.google.com/spreadsheets/d/11923uPwbBZFjjGgGUA6NLw09EwE0CqkOc4q9oUmW1yo/edit?usp=sharing"",""อุทัยธานี!J381"")"),347)</f>
        <v>347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IFERROR(__xludf.DUMMYFUNCTION("IMPORTRANGE(""https://docs.google.com/spreadsheets/d/11923uPwbBZFjjGgGUA6NLw09EwE0CqkOc4q9oUmW1yo/edit?usp=sharing"",""อุทัยธานี!J382"")"),1200)</f>
        <v>1200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IFERROR(__xludf.DUMMYFUNCTION("IMPORTRANGE(""https://docs.google.com/spreadsheets/d/11923uPwbBZFjjGgGUA6NLw09EwE0CqkOc4q9oUmW1yo/edit?usp=sharing"",""อุทัยธานี!J383"")"),129)</f>
        <v>129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IFERROR(__xludf.DUMMYFUNCTION("IMPORTRANGE(""https://docs.google.com/spreadsheets/d/11923uPwbBZFjjGgGUA6NLw09EwE0CqkOc4q9oUmW1yo/edit?usp=sharing"",""อุทัยธานี!J384"")"),1102)</f>
        <v>1102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IFERROR(__xludf.DUMMYFUNCTION("IMPORTRANGE(""https://docs.google.com/spreadsheets/d/11923uPwbBZFjjGgGUA6NLw09EwE0CqkOc4q9oUmW1yo/edit?usp=sharing"",""อุทัยธานี!J385"")"),118)</f>
        <v>118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IFERROR(__xludf.DUMMYFUNCTION("IMPORTRANGE(""https://docs.google.com/spreadsheets/d/11923uPwbBZFjjGgGUA6NLw09EwE0CqkOc4q9oUmW1yo/edit?usp=sharing"",""อุทัยธานี!J392"")"),339.8)</f>
        <v>339.8</v>
      </c>
      <c r="K497" s="444">
        <f t="shared" ca="1" si="117"/>
        <v>4.6087074460870747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IFERROR(__xludf.DUMMYFUNCTION("IMPORTRANGE(""https://docs.google.com/spreadsheets/d/11923uPwbBZFjjGgGUA6NLw09EwE0CqkOc4q9oUmW1yo/edit?usp=sharing"",""อุทัยธานี!J393"")"),339.8)</f>
        <v>339.8</v>
      </c>
      <c r="K498" s="163">
        <f t="shared" ca="1" si="117"/>
        <v>4.6087074460870747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IFERROR(__xludf.DUMMYFUNCTION("IMPORTRANGE(""https://docs.google.com/spreadsheets/d/11923uPwbBZFjjGgGUA6NLw09EwE0CqkOc4q9oUmW1yo/edit?usp=sharing"",""อุทัยธานี!J394"")"),22)</f>
        <v>22</v>
      </c>
      <c r="K499" s="201">
        <f t="shared" ca="1" si="117"/>
        <v>5.3398058252427187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IFERROR(__xludf.DUMMYFUNCTION("IMPORTRANGE(""https://docs.google.com/spreadsheets/d/11923uPwbBZFjjGgGUA6NLw09EwE0CqkOc4q9oUmW1yo/edit?usp=sharing"",""อุทัยธานี!J395"")"),339.8)</f>
        <v>339.8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IFERROR(__xludf.DUMMYFUNCTION("IMPORTRANGE(""https://docs.google.com/spreadsheets/d/11923uPwbBZFjjGgGUA6NLw09EwE0CqkOc4q9oUmW1yo/edit?usp=sharing"",""อุทัยธานี!J396"")"),22)</f>
        <v>22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IFERROR(__xludf.DUMMYFUNCTION("IMPORTRANGE(""https://docs.google.com/spreadsheets/d/11923uPwbBZFjjGgGUA6NLw09EwE0CqkOc4q9oUmW1yo/edit?usp=sharing"",""อุทัยธานี!J397"")"),313.8)</f>
        <v>313.8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IFERROR(__xludf.DUMMYFUNCTION("IMPORTRANGE(""https://docs.google.com/spreadsheets/d/11923uPwbBZFjjGgGUA6NLw09EwE0CqkOc4q9oUmW1yo/edit?usp=sharing"",""อุทัยธานี!J398"")"),21)</f>
        <v>21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IFERROR(__xludf.DUMMYFUNCTION("IMPORTRANGE(""https://docs.google.com/spreadsheets/d/11923uPwbBZFjjGgGUA6NLw09EwE0CqkOc4q9oUmW1yo/edit?usp=sharing"",""อุทัยธานี!J420"")"),828)</f>
        <v>828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IFERROR(__xludf.DUMMYFUNCTION("IMPORTRANGE(""https://docs.google.com/spreadsheets/d/11923uPwbBZFjjGgGUA6NLw09EwE0CqkOc4q9oUmW1yo/edit?usp=sharing"",""อุทัยธานี!J421"")"),56)</f>
        <v>56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IFERROR(__xludf.DUMMYFUNCTION("IMPORTRANGE(""https://docs.google.com/spreadsheets/d/11923uPwbBZFjjGgGUA6NLw09EwE0CqkOc4q9oUmW1yo/edit?usp=sharing"",""อุทัยธานี!J422"")"),137)</f>
        <v>137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IFERROR(__xludf.DUMMYFUNCTION("IMPORTRANGE(""https://docs.google.com/spreadsheets/d/11923uPwbBZFjjGgGUA6NLw09EwE0CqkOc4q9oUmW1yo/edit?usp=sharing"",""อุทัยธานี!J423"")"),12)</f>
        <v>12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IFERROR(__xludf.DUMMYFUNCTION("IMPORTRANGE(""https://docs.google.com/spreadsheets/d/11923uPwbBZFjjGgGUA6NLw09EwE0CqkOc4q9oUmW1yo/edit?usp=sharing"",""อุทัยธานี!J424"")"),691)</f>
        <v>691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IFERROR(__xludf.DUMMYFUNCTION("IMPORTRANGE(""https://docs.google.com/spreadsheets/d/11923uPwbBZFjjGgGUA6NLw09EwE0CqkOc4q9oUmW1yo/edit?usp=sharing"",""อุทัยธานี!J425"")"),44)</f>
        <v>44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IFERROR(__xludf.DUMMYFUNCTION("IMPORTRANGE(""https://docs.google.com/spreadsheets/d/11923uPwbBZFjjGgGUA6NLw09EwE0CqkOc4q9oUmW1yo/edit?usp=sharing"",""อุทัยธานี!J459"")"),4854)</f>
        <v>4854</v>
      </c>
      <c r="K564" s="371">
        <f ca="1">IF(I564&gt;0,J564*100/I564,0)</f>
        <v>313.16129032258067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IFERROR(__xludf.DUMMYFUNCTION("IMPORTRANGE(""https://docs.google.com/spreadsheets/d/11923uPwbBZFjjGgGUA6NLw09EwE0CqkOc4q9oUmW1yo/edit?usp=sharing"",""อุทัยธานี!M459"")"),74251.33)</f>
        <v>74251.33</v>
      </c>
      <c r="O564" s="372">
        <f t="shared" ref="O564:O568" ca="1" si="122">+IF(L564&gt;0,N564*100/L564,0)</f>
        <v>54.245565458796023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IFERROR(__xludf.DUMMYFUNCTION("IMPORTRANGE(""https://docs.google.com/spreadsheets/d/11923uPwbBZFjjGgGUA6NLw09EwE0CqkOc4q9oUmW1yo/edit?usp=sharing"",""อุทัยธานี!M461"")"),74251.33)</f>
        <v>74251.33</v>
      </c>
      <c r="O566" s="168">
        <f t="shared" ca="1" si="122"/>
        <v>54.245565458796023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IFERROR(__xludf.DUMMYFUNCTION("IMPORTRANGE(""https://docs.google.com/spreadsheets/d/11923uPwbBZFjjGgGUA6NLw09EwE0CqkOc4q9oUmW1yo/edit?usp=sharing"",""อุทัยธานี!M463"")"),74251.33)</f>
        <v>74251.33</v>
      </c>
      <c r="O568" s="168">
        <f t="shared" ca="1" si="122"/>
        <v>54.245565458796023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IFERROR(__xludf.DUMMYFUNCTION("IMPORTRANGE(""https://docs.google.com/spreadsheets/d/11923uPwbBZFjjGgGUA6NLw09EwE0CqkOc4q9oUmW1yo/edit?usp=sharing"",""อุทัยธานี!M466"")"),51729.33)</f>
        <v>51729.33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IFERROR(__xludf.DUMMYFUNCTION("IMPORTRANGE(""https://docs.google.com/spreadsheets/d/11923uPwbBZFjjGgGUA6NLw09EwE0CqkOc4q9oUmW1yo/edit?usp=sharing"",""อุทัยธานี!M467"")"),22522)</f>
        <v>22522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IFERROR(__xludf.DUMMYFUNCTION("IMPORTRANGE(""https://docs.google.com/spreadsheets/d/11923uPwbBZFjjGgGUA6NLw09EwE0CqkOc4q9oUmW1yo/edit?usp=sharing"",""อุทัยธานี!J468"")"),4854)</f>
        <v>4854</v>
      </c>
      <c r="K573" s="201">
        <f ca="1">IF(I573&gt;0,J573*100/I573,0)</f>
        <v>313.16129032258067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IFERROR(__xludf.DUMMYFUNCTION("IMPORTRANGE(""https://docs.google.com/spreadsheets/d/11923uPwbBZFjjGgGUA6NLw09EwE0CqkOc4q9oUmW1yo/edit?usp=sharing"",""อุทัยธานี!J471"")"),633)</f>
        <v>633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IFERROR(__xludf.DUMMYFUNCTION("IMPORTRANGE(""https://docs.google.com/spreadsheets/d/11923uPwbBZFjjGgGUA6NLw09EwE0CqkOc4q9oUmW1yo/edit?usp=sharing"",""อุทัยธานี!J472"")"),4221)</f>
        <v>4221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IFERROR(__xludf.DUMMYFUNCTION("IMPORTRANGE(""https://docs.google.com/spreadsheets/d/11923uPwbBZFjjGgGUA6NLw09EwE0CqkOc4q9oUmW1yo/edit?usp=sharing"",""อุทัยธานี!J475"")"),7)</f>
        <v>7</v>
      </c>
      <c r="K580" s="371">
        <f ca="1">IF(I580&gt;0,J580*100/I580,0)</f>
        <v>100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IFERROR(__xludf.DUMMYFUNCTION("IMPORTRANGE(""https://docs.google.com/spreadsheets/d/11923uPwbBZFjjGgGUA6NLw09EwE0CqkOc4q9oUmW1yo/edit?usp=sharing"",""อุทัยธานี!M475"")"),5920)</f>
        <v>5920</v>
      </c>
      <c r="O580" s="372">
        <f t="shared" ref="O580:O584" ca="1" si="124">+IF(L580&gt;0,N580*100/L580,0)</f>
        <v>5.2924716378948125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IFERROR(__xludf.DUMMYFUNCTION("IMPORTRANGE(""https://docs.google.com/spreadsheets/d/11923uPwbBZFjjGgGUA6NLw09EwE0CqkOc4q9oUmW1yo/edit?usp=sharing"",""อุทัยธานี!M477"")"),5920)</f>
        <v>5920</v>
      </c>
      <c r="O582" s="168">
        <f t="shared" ca="1" si="124"/>
        <v>5.2924716378948125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IFERROR(__xludf.DUMMYFUNCTION("IMPORTRANGE(""https://docs.google.com/spreadsheets/d/11923uPwbBZFjjGgGUA6NLw09EwE0CqkOc4q9oUmW1yo/edit?usp=sharing"",""อุทัยธานี!M479"")"),5920)</f>
        <v>5920</v>
      </c>
      <c r="O584" s="168">
        <f t="shared" ca="1" si="124"/>
        <v>5.2924716378948125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IFERROR(__xludf.DUMMYFUNCTION("IMPORTRANGE(""https://docs.google.com/spreadsheets/d/11923uPwbBZFjjGgGUA6NLw09EwE0CqkOc4q9oUmW1yo/edit?usp=sharing"",""อุทัยธานี!M483"")"),5920)</f>
        <v>5920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IFERROR(__xludf.DUMMYFUNCTION("IMPORTRANGE(""https://docs.google.com/spreadsheets/d/11923uPwbBZFjjGgGUA6NLw09EwE0CqkOc4q9oUmW1yo/edit?usp=sharing"",""อุทัยธานี!J484"")"),4)</f>
        <v>4</v>
      </c>
      <c r="K589" s="163">
        <f t="shared" ref="K589:K596" ca="1" si="125">IF(I589&gt;0,J589*100/I589,0)</f>
        <v>57.142857142857146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IFERROR(__xludf.DUMMYFUNCTION("IMPORTRANGE(""https://docs.google.com/spreadsheets/d/11923uPwbBZFjjGgGUA6NLw09EwE0CqkOc4q9oUmW1yo/edit?usp=sharing"",""อุทัยธานี!J485"")"),3.02)</f>
        <v>3.02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IFERROR(__xludf.DUMMYFUNCTION("IMPORTRANGE(""https://docs.google.com/spreadsheets/d/11923uPwbBZFjjGgGUA6NLw09EwE0CqkOc4q9oUmW1yo/edit?usp=sharing"",""อุทัยธานี!J486"")"),7)</f>
        <v>7</v>
      </c>
      <c r="K591" s="163">
        <f t="shared" ca="1" si="125"/>
        <v>100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IFERROR(__xludf.DUMMYFUNCTION("IMPORTRANGE(""https://docs.google.com/spreadsheets/d/11923uPwbBZFjjGgGUA6NLw09EwE0CqkOc4q9oUmW1yo/edit?usp=sharing"",""อุทัยธานี!J487"")"),5.5)</f>
        <v>5.5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IFERROR(__xludf.DUMMYFUNCTION("IMPORTRANGE(""https://docs.google.com/spreadsheets/d/11923uPwbBZFjjGgGUA6NLw09EwE0CqkOc4q9oUmW1yo/edit?usp=sharing"",""อุทัยธานี!J490"")"),7)</f>
        <v>7</v>
      </c>
      <c r="K595" s="163">
        <f t="shared" ca="1" si="125"/>
        <v>100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IFERROR(__xludf.DUMMYFUNCTION("IMPORTRANGE(""https://docs.google.com/spreadsheets/d/11923uPwbBZFjjGgGUA6NLw09EwE0CqkOc4q9oUmW1yo/edit?usp=sharing"",""อุทัยธานี!J491"")"),5.5)</f>
        <v>5.5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7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IFERROR(__xludf.DUMMYFUNCTION("IMPORTRANGE(""https://docs.google.com/spreadsheets/d/11923uPwbBZFjjGgGUA6NLw09EwE0CqkOc4q9oUmW1yo/edit?usp=sharing"",""อุทัยธานี!J523"")"),1481432.05)</f>
        <v>1481432.05</v>
      </c>
      <c r="K628" s="342">
        <f t="shared" ref="K628:K635" ca="1" si="129">IF(I628&gt;0,J628*100/I628,0)</f>
        <v>91.37195638712393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IFERROR(__xludf.DUMMYFUNCTION("IMPORTRANGE(""https://docs.google.com/spreadsheets/d/11923uPwbBZFjjGgGUA6NLw09EwE0CqkOc4q9oUmW1yo/edit?usp=sharing"",""อุทัยธานี!J524"")"),105)</f>
        <v>105</v>
      </c>
      <c r="K629" s="342">
        <f t="shared" ca="1" si="129"/>
        <v>97.222222222222229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IFERROR(__xludf.DUMMYFUNCTION("IMPORTRANGE(""https://docs.google.com/spreadsheets/d/11923uPwbBZFjjGgGUA6NLw09EwE0CqkOc4q9oUmW1yo/edit?usp=sharing"",""อุทัยธานี!J525"")"),2027439.85)</f>
        <v>2027439.85</v>
      </c>
      <c r="K630" s="342">
        <f t="shared" ca="1" si="129"/>
        <v>16.489353241117122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IFERROR(__xludf.DUMMYFUNCTION("IMPORTRANGE(""https://docs.google.com/spreadsheets/d/11923uPwbBZFjjGgGUA6NLw09EwE0CqkOc4q9oUmW1yo/edit?usp=sharing"",""อุทัยธานี!J526"")"),293)</f>
        <v>293</v>
      </c>
      <c r="K631" s="342">
        <f t="shared" ca="1" si="129"/>
        <v>43.21533923303835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IFERROR(__xludf.DUMMYFUNCTION("IMPORTRANGE(""https://docs.google.com/spreadsheets/d/11923uPwbBZFjjGgGUA6NLw09EwE0CqkOc4q9oUmW1yo/edit?usp=sharing"",""อุทัยธานี!J527"")"),1312079.33)</f>
        <v>1312079.33</v>
      </c>
      <c r="K632" s="342">
        <f t="shared" ca="1" si="129"/>
        <v>32.95711312300503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IFERROR(__xludf.DUMMYFUNCTION("IMPORTRANGE(""https://docs.google.com/spreadsheets/d/11923uPwbBZFjjGgGUA6NLw09EwE0CqkOc4q9oUmW1yo/edit?usp=sharing"",""อุทัยธานี!J528"")"),164)</f>
        <v>164</v>
      </c>
      <c r="K633" s="342">
        <f t="shared" ca="1" si="129"/>
        <v>66.129032258064512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IFERROR(__xludf.DUMMYFUNCTION("IMPORTRANGE(""https://docs.google.com/spreadsheets/d/11923uPwbBZFjjGgGUA6NLw09EwE0CqkOc4q9oUmW1yo/edit?usp=sharing"",""อุทัยธานี!I530"")"),96)</f>
        <v>96</v>
      </c>
      <c r="J635" s="504">
        <f ca="1">IFERROR(__xludf.DUMMYFUNCTION("IMPORTRANGE(""https://docs.google.com/spreadsheets/d/11923uPwbBZFjjGgGUA6NLw09EwE0CqkOc4q9oUmW1yo/edit?usp=sharing"",""อุทัยธานี!J530"")"),100)</f>
        <v>100</v>
      </c>
      <c r="K635" s="486">
        <f t="shared" ca="1" si="129"/>
        <v>104.16666666666667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38160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38160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38160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IFERROR(__xludf.DUMMYFUNCTION("IMPORTRANGE(""https://docs.google.com/spreadsheets/d/11923uPwbBZFjjGgGUA6NLw09EwE0CqkOc4q9oUmW1yo/edit?usp=sharing"",""อุทัยธานี!J541"")"),0)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IFERROR(__xludf.DUMMYFUNCTION("IMPORTRANGE(""https://docs.google.com/spreadsheets/d/11923uPwbBZFjjGgGUA6NLw09EwE0CqkOc4q9oUmW1yo/edit?usp=sharing"",""อุทัยธานี!J542"")"),0)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IFERROR(__xludf.DUMMYFUNCTION("IMPORTRANGE(""https://docs.google.com/spreadsheets/d/11923uPwbBZFjjGgGUA6NLw09EwE0CqkOc4q9oUmW1yo/edit?usp=sharing"",""อุทัยธานี!I543"")"),0)</f>
        <v>0</v>
      </c>
      <c r="J648" s="535">
        <f ca="1">IFERROR(__xludf.DUMMYFUNCTION("IMPORTRANGE(""https://docs.google.com/spreadsheets/d/11923uPwbBZFjjGgGUA6NLw09EwE0CqkOc4q9oUmW1yo/edit?usp=sharing"",""อุทัยธานี!J543"")"),0)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IFERROR(__xludf.DUMMYFUNCTION("IMPORTRANGE(""https://docs.google.com/spreadsheets/d/11923uPwbBZFjjGgGUA6NLw09EwE0CqkOc4q9oUmW1yo/edit?usp=sharing"",""อุทัยธานี!L543"")"),0)</f>
        <v>0</v>
      </c>
      <c r="M648" s="520"/>
      <c r="N648" s="537">
        <f ca="1">IFERROR(__xludf.DUMMYFUNCTION("IMPORTRANGE(""https://docs.google.com/spreadsheets/d/11923uPwbBZFjjGgGUA6NLw09EwE0CqkOc4q9oUmW1yo/edit?usp=sharing"",""อุทัยธานี!M543"")"),0)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IFERROR(__xludf.DUMMYFUNCTION("IMPORTRANGE(""https://docs.google.com/spreadsheets/d/11923uPwbBZFjjGgGUA6NLw09EwE0CqkOc4q9oUmW1yo/edit?usp=sharing"",""อุทัยธานี!I544"")"),0)</f>
        <v>0</v>
      </c>
      <c r="J649" s="535">
        <f ca="1">IFERROR(__xludf.DUMMYFUNCTION("IMPORTRANGE(""https://docs.google.com/spreadsheets/d/11923uPwbBZFjjGgGUA6NLw09EwE0CqkOc4q9oUmW1yo/edit?usp=sharing"",""อุทัยธานี!J544"")"),0)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IFERROR(__xludf.DUMMYFUNCTION("IMPORTRANGE(""https://docs.google.com/spreadsheets/d/11923uPwbBZFjjGgGUA6NLw09EwE0CqkOc4q9oUmW1yo/edit?usp=sharing"",""อุทัยธานี!L544"")"),0)</f>
        <v>0</v>
      </c>
      <c r="M649" s="520"/>
      <c r="N649" s="537">
        <f ca="1">IFERROR(__xludf.DUMMYFUNCTION("IMPORTRANGE(""https://docs.google.com/spreadsheets/d/11923uPwbBZFjjGgGUA6NLw09EwE0CqkOc4q9oUmW1yo/edit?usp=sharing"",""อุทัยธานี!M544"")"),0)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IFERROR(__xludf.DUMMYFUNCTION("IMPORTRANGE(""https://docs.google.com/spreadsheets/d/11923uPwbBZFjjGgGUA6NLw09EwE0CqkOc4q9oUmW1yo/edit?usp=sharing"",""อุทัยธานี!I545"")"),115)</f>
        <v>115</v>
      </c>
      <c r="J650" s="535">
        <f ca="1">IFERROR(__xludf.DUMMYFUNCTION("IMPORTRANGE(""https://docs.google.com/spreadsheets/d/11923uPwbBZFjjGgGUA6NLw09EwE0CqkOc4q9oUmW1yo/edit?usp=sharing"",""อุทัยธานี!J545"")"),28.38)</f>
        <v>28.38</v>
      </c>
      <c r="K650" s="536">
        <f t="shared" ca="1" si="131"/>
        <v>24.678260869565218</v>
      </c>
      <c r="L650" s="521">
        <f ca="1">IFERROR(__xludf.DUMMYFUNCTION("IMPORTRANGE(""https://docs.google.com/spreadsheets/d/11923uPwbBZFjjGgGUA6NLw09EwE0CqkOc4q9oUmW1yo/edit?usp=sharing"",""อุทัยธานี!L545"")"),575)</f>
        <v>575</v>
      </c>
      <c r="M650" s="520"/>
      <c r="N650" s="537">
        <f ca="1">IFERROR(__xludf.DUMMYFUNCTION("IMPORTRANGE(""https://docs.google.com/spreadsheets/d/11923uPwbBZFjjGgGUA6NLw09EwE0CqkOc4q9oUmW1yo/edit?usp=sharing"",""อุทัยธานี!M545"")"),0)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IFERROR(__xludf.DUMMYFUNCTION("IMPORTRANGE(""https://docs.google.com/spreadsheets/d/11923uPwbBZFjjGgGUA6NLw09EwE0CqkOc4q9oUmW1yo/edit?usp=sharing"",""อุทัยธานี!I546"")"),185)</f>
        <v>185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IFERROR(__xludf.DUMMYFUNCTION("IMPORTRANGE(""https://docs.google.com/spreadsheets/d/11923uPwbBZFjjGgGUA6NLw09EwE0CqkOc4q9oUmW1yo/edit?usp=sharing"",""อุทัยธานี!L546"")"),4625)</f>
        <v>4625</v>
      </c>
      <c r="M651" s="520"/>
      <c r="N651" s="537">
        <f ca="1">IFERROR(__xludf.DUMMYFUNCTION("IMPORTRANGE(""https://docs.google.com/spreadsheets/d/11923uPwbBZFjjGgGUA6NLw09EwE0CqkOc4q9oUmW1yo/edit?usp=sharing"",""อุทัยธานี!M546"")"),0)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IFERROR(__xludf.DUMMYFUNCTION("IMPORTRANGE(""https://docs.google.com/spreadsheets/d/11923uPwbBZFjjGgGUA6NLw09EwE0CqkOc4q9oUmW1yo/edit?usp=sharing"",""อุทัยธานี!J547"")"),0)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IFERROR(__xludf.DUMMYFUNCTION("IMPORTRANGE(""https://docs.google.com/spreadsheets/d/11923uPwbBZFjjGgGUA6NLw09EwE0CqkOc4q9oUmW1yo/edit?usp=sharing"",""อุทัยธานี!J548"")"),0)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IFERROR(__xludf.DUMMYFUNCTION("IMPORTRANGE(""https://docs.google.com/spreadsheets/d/11923uPwbBZFjjGgGUA6NLw09EwE0CqkOc4q9oUmW1yo/edit?usp=sharing"",""อุทัยธานี!J550"")"),0)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IFERROR(__xludf.DUMMYFUNCTION("IMPORTRANGE(""https://docs.google.com/spreadsheets/d/11923uPwbBZFjjGgGUA6NLw09EwE0CqkOc4q9oUmW1yo/edit?usp=sharing"",""อุทัยธานี!J551"")"),0)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IFERROR(__xludf.DUMMYFUNCTION("IMPORTRANGE(""https://docs.google.com/spreadsheets/d/11923uPwbBZFjjGgGUA6NLw09EwE0CqkOc4q9oUmW1yo/edit?usp=sharing"",""อุทัยธานี!J552"")"),0)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IFERROR(__xludf.DUMMYFUNCTION("IMPORTRANGE(""https://docs.google.com/spreadsheets/d/11923uPwbBZFjjGgGUA6NLw09EwE0CqkOc4q9oUmW1yo/edit?usp=sharing"",""อุทัยธานี!J553"")"),0)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IFERROR(__xludf.DUMMYFUNCTION("IMPORTRANGE(""https://docs.google.com/spreadsheets/d/11923uPwbBZFjjGgGUA6NLw09EwE0CqkOc4q9oUmW1yo/edit?usp=sharing"",""อุทัยธานี!J554"")"),0)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IFERROR(__xludf.DUMMYFUNCTION("IMPORTRANGE(""https://docs.google.com/spreadsheets/d/11923uPwbBZFjjGgGUA6NLw09EwE0CqkOc4q9oUmW1yo/edit?usp=sharing"",""อุทัยธานี!J555"")"),0)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IFERROR(__xludf.DUMMYFUNCTION("IMPORTRANGE(""https://docs.google.com/spreadsheets/d/11923uPwbBZFjjGgGUA6NLw09EwE0CqkOc4q9oUmW1yo/edit?usp=sharing"",""อุทัยธานี!J556"")"),28)</f>
        <v>28</v>
      </c>
      <c r="K661" s="536"/>
      <c r="L661" s="521">
        <f ca="1">IFERROR(__xludf.DUMMYFUNCTION("IMPORTRANGE(""https://docs.google.com/spreadsheets/d/11923uPwbBZFjjGgGUA6NLw09EwE0CqkOc4q9oUmW1yo/edit?usp=sharing"",""อุทัยธานี!L556"")"),19920)</f>
        <v>19920</v>
      </c>
      <c r="M661" s="520"/>
      <c r="N661" s="537">
        <f ca="1">IFERROR(__xludf.DUMMYFUNCTION("IMPORTRANGE(""https://docs.google.com/spreadsheets/d/11923uPwbBZFjjGgGUA6NLw09EwE0CqkOc4q9oUmW1yo/edit?usp=sharing"",""อุทัยธานี!M556"")"),0)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IFERROR(__xludf.DUMMYFUNCTION("IMPORTRANGE(""https://docs.google.com/spreadsheets/d/11923uPwbBZFjjGgGUA6NLw09EwE0CqkOc4q9oUmW1yo/edit?usp=sharing"",""อุทัยธานี!J557"")"),29)</f>
        <v>29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IFERROR(__xludf.DUMMYFUNCTION("IMPORTRANGE(""https://docs.google.com/spreadsheets/d/11923uPwbBZFjjGgGUA6NLw09EwE0CqkOc4q9oUmW1yo/edit?usp=sharing"",""อุทัยธานี!I558"")"),498)</f>
        <v>498</v>
      </c>
      <c r="J663" s="535">
        <f ca="1">IFERROR(__xludf.DUMMYFUNCTION("IMPORTRANGE(""https://docs.google.com/spreadsheets/d/11923uPwbBZFjjGgGUA6NLw09EwE0CqkOc4q9oUmW1yo/edit?usp=sharing"",""อุทัยธานี!J558"")"),485.51)</f>
        <v>485.51</v>
      </c>
      <c r="K663" s="536">
        <f ca="1">IF(I663&gt;0,J663*100/I663,0)</f>
        <v>97.49196787148594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IFERROR(__xludf.DUMMYFUNCTION("IMPORTRANGE(""https://docs.google.com/spreadsheets/d/11923uPwbBZFjjGgGUA6NLw09EwE0CqkOc4q9oUmW1yo/edit?usp=sharing"",""อุทัยธานี!I560"")"),6)</f>
        <v>6</v>
      </c>
      <c r="J665" s="535">
        <f ca="1">IFERROR(__xludf.DUMMYFUNCTION("IMPORTRANGE(""https://docs.google.com/spreadsheets/d/11923uPwbBZFjjGgGUA6NLw09EwE0CqkOc4q9oUmW1yo/edit?usp=sharing"",""อุทัยธานี!J560"")"),4)</f>
        <v>4</v>
      </c>
      <c r="K665" s="536">
        <f ca="1">IF(I665&gt;0,J665*100/I665,0)</f>
        <v>66.666666666666671</v>
      </c>
      <c r="L665" s="521">
        <f ca="1">IFERROR(__xludf.DUMMYFUNCTION("IMPORTRANGE(""https://docs.google.com/spreadsheets/d/11923uPwbBZFjjGgGUA6NLw09EwE0CqkOc4q9oUmW1yo/edit?usp=sharing"",""อุทัยธานี!L560"")"),720)</f>
        <v>720</v>
      </c>
      <c r="M665" s="520"/>
      <c r="N665" s="537">
        <f ca="1">IFERROR(__xludf.DUMMYFUNCTION("IMPORTRANGE(""https://docs.google.com/spreadsheets/d/11923uPwbBZFjjGgGUA6NLw09EwE0CqkOc4q9oUmW1yo/edit?usp=sharing"",""อุทัยธานี!M560"")"),0)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IFERROR(__xludf.DUMMYFUNCTION("IMPORTRANGE(""https://docs.google.com/spreadsheets/d/11923uPwbBZFjjGgGUA6NLw09EwE0CqkOc4q9oUmW1yo/edit?usp=sharing"",""อุทัยธานี!J561"")"),4)</f>
        <v>4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IFERROR(__xludf.DUMMYFUNCTION("IMPORTRANGE(""https://docs.google.com/spreadsheets/d/11923uPwbBZFjjGgGUA6NLw09EwE0CqkOc4q9oUmW1yo/edit?usp=sharing"",""อุทัยธานี!J562"")"),88.61)</f>
        <v>88.61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IFERROR(__xludf.DUMMYFUNCTION("IMPORTRANGE(""https://docs.google.com/spreadsheets/d/11923uPwbBZFjjGgGUA6NLw09EwE0CqkOc4q9oUmW1yo/edit?usp=sharing"",""อุทัยธานี!I563"")"),6)</f>
        <v>6</v>
      </c>
      <c r="J668" s="535">
        <f ca="1">IFERROR(__xludf.DUMMYFUNCTION("IMPORTRANGE(""https://docs.google.com/spreadsheets/d/11923uPwbBZFjjGgGUA6NLw09EwE0CqkOc4q9oUmW1yo/edit?usp=sharing"",""อุทัยธานี!J563"")"),0)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IFERROR(__xludf.DUMMYFUNCTION("IMPORTRANGE(""https://docs.google.com/spreadsheets/d/11923uPwbBZFjjGgGUA6NLw09EwE0CqkOc4q9oUmW1yo/edit?usp=sharing"",""อุทัยธานี!L563"")"),5280)</f>
        <v>5280</v>
      </c>
      <c r="M668" s="520"/>
      <c r="N668" s="537">
        <f ca="1">IFERROR(__xludf.DUMMYFUNCTION("IMPORTRANGE(""https://docs.google.com/spreadsheets/d/11923uPwbBZFjjGgGUA6NLw09EwE0CqkOc4q9oUmW1yo/edit?usp=sharing"",""อุทัยธานี!M563"")"),0)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IFERROR(__xludf.DUMMYFUNCTION("IMPORTRANGE(""https://docs.google.com/spreadsheets/d/11923uPwbBZFjjGgGUA6NLw09EwE0CqkOc4q9oUmW1yo/edit?usp=sharing"",""อุทัยธานี!J564"")"),0)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IFERROR(__xludf.DUMMYFUNCTION("IMPORTRANGE(""https://docs.google.com/spreadsheets/d/11923uPwbBZFjjGgGUA6NLw09EwE0CqkOc4q9oUmW1yo/edit?usp=sharing"",""อุทัยธานี!J565"")"),0)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IFERROR(__xludf.DUMMYFUNCTION("IMPORTRANGE(""https://docs.google.com/spreadsheets/d/11923uPwbBZFjjGgGUA6NLw09EwE0CqkOc4q9oUmW1yo/edit?usp=sharing"",""อุทัยธานี!I566"")"),88)</f>
        <v>88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IFERROR(__xludf.DUMMYFUNCTION("IMPORTRANGE(""https://docs.google.com/spreadsheets/d/11923uPwbBZFjjGgGUA6NLw09EwE0CqkOc4q9oUmW1yo/edit?usp=sharing"",""อุทัยธานี!L566"")"),7040)</f>
        <v>7040</v>
      </c>
      <c r="M671" s="520"/>
      <c r="N671" s="537">
        <f ca="1">IFERROR(__xludf.DUMMYFUNCTION("IMPORTRANGE(""https://docs.google.com/spreadsheets/d/11923uPwbBZFjjGgGUA6NLw09EwE0CqkOc4q9oUmW1yo/edit?usp=sharing"",""อุทัยธานี!M566"")"),0)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IFERROR(__xludf.DUMMYFUNCTION("IMPORTRANGE(""https://docs.google.com/spreadsheets/d/11923uPwbBZFjjGgGUA6NLw09EwE0CqkOc4q9oUmW1yo/edit?usp=sharing"",""อุทัยธานี!J567"")"),0)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IFERROR(__xludf.DUMMYFUNCTION("IMPORTRANGE(""https://docs.google.com/spreadsheets/d/11923uPwbBZFjjGgGUA6NLw09EwE0CqkOc4q9oUmW1yo/edit?usp=sharing"",""อุทัยธานี!J568"")"),0)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IFERROR(__xludf.DUMMYFUNCTION("IMPORTRANGE(""https://docs.google.com/spreadsheets/d/11923uPwbBZFjjGgGUA6NLw09EwE0CqkOc4q9oUmW1yo/edit?usp=sharing"",""อุทัยธานี!J569"")"),0)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IFERROR(__xludf.DUMMYFUNCTION("IMPORTRANGE(""https://docs.google.com/spreadsheets/d/11923uPwbBZFjjGgGUA6NLw09EwE0CqkOc4q9oUmW1yo/edit?usp=sharing"",""อุทัยธานี!J570"")"),0)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IFERROR(__xludf.DUMMYFUNCTION("IMPORTRANGE(""https://docs.google.com/spreadsheets/d/11923uPwbBZFjjGgGUA6NLw09EwE0CqkOc4q9oUmW1yo/edit?usp=sharing"",""อุทัยธานี!J571"")"),0)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IFERROR(__xludf.DUMMYFUNCTION("IMPORTRANGE(""https://docs.google.com/spreadsheets/d/11923uPwbBZFjjGgGUA6NLw09EwE0CqkOc4q9oUmW1yo/edit?usp=sharing"",""อุทัยธานี!J572"")"),0)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260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7384531</v>
      </c>
      <c r="M8" s="23">
        <f t="shared" ca="1" si="0"/>
        <v>3211222</v>
      </c>
      <c r="N8" s="23">
        <f t="shared" ca="1" si="0"/>
        <v>3012379.3600000003</v>
      </c>
      <c r="O8" s="22">
        <f t="shared" ref="O8:O16" ca="1" si="1">IF(L8&gt;0,N8*100/L8,0)</f>
        <v>40.793103312857653</v>
      </c>
      <c r="P8" s="22">
        <f t="shared" ref="P8:P16" ca="1" si="2">IF(M8&gt;0,N8*100/M8,0)</f>
        <v>93.807882482120533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7384531</v>
      </c>
      <c r="M10" s="30">
        <f t="shared" ca="1" si="4"/>
        <v>3211222</v>
      </c>
      <c r="N10" s="30">
        <f t="shared" ca="1" si="4"/>
        <v>3012379.3600000003</v>
      </c>
      <c r="O10" s="29">
        <f t="shared" ca="1" si="1"/>
        <v>40.793103312857653</v>
      </c>
      <c r="P10" s="29">
        <f t="shared" ca="1" si="2"/>
        <v>93.807882482120533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7384531</v>
      </c>
      <c r="M12" s="39">
        <f t="shared" ca="1" si="6"/>
        <v>3211222</v>
      </c>
      <c r="N12" s="39">
        <f t="shared" ca="1" si="6"/>
        <v>3012379.3600000003</v>
      </c>
      <c r="O12" s="39">
        <f t="shared" ca="1" si="1"/>
        <v>40.793103312857653</v>
      </c>
      <c r="P12" s="39">
        <f t="shared" ca="1" si="2"/>
        <v>93.807882482120533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5203531</v>
      </c>
      <c r="M14" s="39">
        <f t="shared" si="8"/>
        <v>0</v>
      </c>
      <c r="N14" s="39">
        <f t="shared" ca="1" si="8"/>
        <v>768755.45000000007</v>
      </c>
      <c r="O14" s="39">
        <f t="shared" ca="1" si="1"/>
        <v>14.773726725179499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3983895</v>
      </c>
      <c r="M18" s="23">
        <f t="shared" ca="1" si="11"/>
        <v>3211222</v>
      </c>
      <c r="N18" s="23">
        <f t="shared" ca="1" si="11"/>
        <v>2243623.91</v>
      </c>
      <c r="O18" s="22">
        <f t="shared" ref="O18:O20" ca="1" si="12">IF(L18&gt;0,N18*100/L18,0)</f>
        <v>56.317345462167047</v>
      </c>
      <c r="P18" s="22">
        <f t="shared" ref="P18:P26" ca="1" si="13">IF(M18&gt;0,N18*100/M18,0)</f>
        <v>69.868228045273725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3983895</v>
      </c>
      <c r="M20" s="30">
        <f t="shared" ca="1" si="15"/>
        <v>3211222</v>
      </c>
      <c r="N20" s="30">
        <f t="shared" ca="1" si="15"/>
        <v>2243623.91</v>
      </c>
      <c r="O20" s="29">
        <f t="shared" ca="1" si="12"/>
        <v>56.317345462167047</v>
      </c>
      <c r="P20" s="29">
        <f t="shared" ca="1" si="13"/>
        <v>69.868228045273725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3983895</v>
      </c>
      <c r="M22" s="42">
        <f t="shared" ca="1" si="18"/>
        <v>3211222</v>
      </c>
      <c r="N22" s="39">
        <f t="shared" ca="1" si="18"/>
        <v>2243623.91</v>
      </c>
      <c r="O22" s="39">
        <f t="shared" ca="1" si="17"/>
        <v>56.317345462167047</v>
      </c>
      <c r="P22" s="39">
        <f t="shared" ca="1" si="13"/>
        <v>69.868228045273725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1802895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3400636</v>
      </c>
      <c r="M28" s="23">
        <f t="shared" si="23"/>
        <v>0</v>
      </c>
      <c r="N28" s="23">
        <f t="shared" ca="1" si="23"/>
        <v>768755.45000000007</v>
      </c>
      <c r="O28" s="22">
        <f t="shared" ref="O28:O30" ca="1" si="24">IF(L28&gt;0,N28*100/L28,0)</f>
        <v>22.606225717777498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3400636</v>
      </c>
      <c r="M30" s="30">
        <f t="shared" si="27"/>
        <v>0</v>
      </c>
      <c r="N30" s="30">
        <f t="shared" ca="1" si="27"/>
        <v>768755.45000000007</v>
      </c>
      <c r="O30" s="29">
        <f t="shared" ca="1" si="24"/>
        <v>22.606225717777498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3400636</v>
      </c>
      <c r="M32" s="39">
        <f t="shared" si="30"/>
        <v>0</v>
      </c>
      <c r="N32" s="39">
        <f t="shared" ca="1" si="30"/>
        <v>768755.45000000007</v>
      </c>
      <c r="O32" s="39">
        <f t="shared" ca="1" si="29"/>
        <v>22.606225717777498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3400636</v>
      </c>
      <c r="M34" s="39">
        <f t="shared" si="32"/>
        <v>0</v>
      </c>
      <c r="N34" s="39">
        <f t="shared" ca="1" si="32"/>
        <v>768755.45000000007</v>
      </c>
      <c r="O34" s="39">
        <f t="shared" ca="1" si="29"/>
        <v>22.606225717777498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3983895</v>
      </c>
      <c r="M37" s="55">
        <f t="shared" ca="1" si="33"/>
        <v>3211222</v>
      </c>
      <c r="N37" s="55">
        <f t="shared" ca="1" si="33"/>
        <v>2243623.91</v>
      </c>
      <c r="O37" s="56">
        <f t="shared" ca="1" si="29"/>
        <v>56.317345462167047</v>
      </c>
      <c r="P37" s="56">
        <f t="shared" ca="1" si="25"/>
        <v>69.868228045273725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630700</v>
      </c>
      <c r="N41" s="79">
        <f t="shared" ca="1" si="34"/>
        <v>528959.38</v>
      </c>
      <c r="O41" s="78">
        <f t="shared" ref="O41:O43" ca="1" si="35">IF(L41&gt;0,N41*100/L41,0)</f>
        <v>62.90395766440718</v>
      </c>
      <c r="P41" s="78">
        <f t="shared" ref="P41:P43" ca="1" si="36">IF(M41&gt;0,N41*100/M41,0)</f>
        <v>83.868618994767715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630700</v>
      </c>
      <c r="N43" s="79">
        <f t="shared" ca="1" si="38"/>
        <v>528959.38</v>
      </c>
      <c r="O43" s="78">
        <f t="shared" ca="1" si="35"/>
        <v>62.90395766440718</v>
      </c>
      <c r="P43" s="78">
        <f t="shared" ca="1" si="36"/>
        <v>83.868618994767715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IFERROR(__xludf.DUMMYFUNCTION("IMPORTRANGE(""https://docs.google.com/spreadsheets/d/1Yj_ptqi66GCucihVvJfMjLAmec39IyEx_6qawtMGysU/edit?usp=sharing"",""สบก!Q20"")"),630700)</f>
        <v>630700</v>
      </c>
      <c r="N45" s="50">
        <f ca="1">IFERROR(__xludf.DUMMYFUNCTION("IMPORTRANGE(""https://docs.google.com/spreadsheets/d/1Yj_ptqi66GCucihVvJfMjLAmec39IyEx_6qawtMGysU/edit?usp=sharing"",""สบก!R20"")"),528959.38)</f>
        <v>528959.38</v>
      </c>
      <c r="O45" s="39">
        <f ca="1">IF(L45&gt;0,N45*100/L45,0)</f>
        <v>62.90395766440718</v>
      </c>
      <c r="P45" s="39">
        <f ca="1">IF(M45&gt;0,N45*100/M45,0)</f>
        <v>83.868618994767715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372032</v>
      </c>
      <c r="N53" s="121">
        <f t="shared" ca="1" si="39"/>
        <v>344879</v>
      </c>
      <c r="O53" s="120">
        <f t="shared" ref="O53:O55" ca="1" si="40">IF(L53&gt;0,N53*100/L53,0)</f>
        <v>73.534968017057565</v>
      </c>
      <c r="P53" s="120">
        <f t="shared" ref="P53:P55" ca="1" si="41">IF(M53&gt;0,N53*100/M53,0)</f>
        <v>92.701434285222774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372032</v>
      </c>
      <c r="N55" s="121">
        <f t="shared" ca="1" si="43"/>
        <v>344879</v>
      </c>
      <c r="O55" s="120">
        <f t="shared" ca="1" si="40"/>
        <v>73.534968017057565</v>
      </c>
      <c r="P55" s="120">
        <f t="shared" ca="1" si="41"/>
        <v>92.701434285222774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IFERROR(__xludf.DUMMYFUNCTION("IMPORTRANGE(""https://docs.google.com/spreadsheets/d/1Yj_ptqi66GCucihVvJfMjLAmec39IyEx_6qawtMGysU/edit?usp=sharing"",""สบก!Z20"")"),372032)</f>
        <v>372032</v>
      </c>
      <c r="N57" s="50">
        <f ca="1">IFERROR(__xludf.DUMMYFUNCTION("IMPORTRANGE(""https://docs.google.com/spreadsheets/d/1Yj_ptqi66GCucihVvJfMjLAmec39IyEx_6qawtMGysU/edit?usp=sharing"",""สบก!AA20"")"),344879)</f>
        <v>344879</v>
      </c>
      <c r="O57" s="39">
        <f ca="1">IF(L57&gt;0,N57*100/L57,0)</f>
        <v>73.534968017057565</v>
      </c>
      <c r="P57" s="39">
        <f ca="1">IF(M57&gt;0,N57*100/M57,0)</f>
        <v>92.701434285222774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4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185025</v>
      </c>
      <c r="N140" s="152">
        <f t="shared" ca="1" si="64"/>
        <v>110350</v>
      </c>
      <c r="O140" s="151">
        <f t="shared" ref="O140:O142" ca="1" si="65">IF(L140&gt;0,N140*100/L140,0)</f>
        <v>159.92753623188406</v>
      </c>
      <c r="P140" s="151">
        <f t="shared" ref="P140:P142" ca="1" si="66">IF(M140&gt;0,N140*100/M140,0)</f>
        <v>59.640589109579786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185025</v>
      </c>
      <c r="N142" s="88">
        <f t="shared" ca="1" si="68"/>
        <v>110350</v>
      </c>
      <c r="O142" s="156">
        <f t="shared" ca="1" si="65"/>
        <v>159.92753623188406</v>
      </c>
      <c r="P142" s="156">
        <f t="shared" ca="1" si="66"/>
        <v>59.640589109579786</v>
      </c>
    </row>
    <row r="143" spans="1:16" ht="21.75" customHeight="1" x14ac:dyDescent="0.4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IFERROR(__xludf.DUMMYFUNCTION("IMPORTRANGE(""https://docs.google.com/spreadsheets/d/1Yj_ptqi66GCucihVvJfMjLAmec39IyEx_6qawtMGysU/edit?usp=sharing"",""สบก!BJ20"")"),185025)</f>
        <v>185025</v>
      </c>
      <c r="N144" s="168">
        <f ca="1">IFERROR(__xludf.DUMMYFUNCTION("IMPORTRANGE(""https://docs.google.com/spreadsheets/d/1Yj_ptqi66GCucihVvJfMjLAmec39IyEx_6qawtMGysU/edit?usp=sharing"",""สบก!BK20"")"),110350)</f>
        <v>110350</v>
      </c>
      <c r="O144" s="168">
        <f ca="1">IF(L144&gt;0,N144*100/L144,0)</f>
        <v>159.92753623188406</v>
      </c>
      <c r="P144" s="168">
        <f ca="1">IF(M144&gt;0,N144*100/M144,0)</f>
        <v>59.640589109579786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IFERROR(__xludf.DUMMYFUNCTION("IMPORTRANGE(""https://docs.google.com/spreadsheets/d/11923uPwbBZFjjGgGUA6NLw09EwE0CqkOc4q9oUmW1yo/edit?usp=sharing"",""กำแพงเพชร!J84"")"),33)</f>
        <v>33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IFERROR(__xludf.DUMMYFUNCTION("IMPORTRANGE(""https://docs.google.com/spreadsheets/d/11923uPwbBZFjjGgGUA6NLw09EwE0CqkOc4q9oUmW1yo/edit?usp=sharing"",""กำแพงเพชร!J85"")"),33)</f>
        <v>33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IFERROR(__xludf.DUMMYFUNCTION("IMPORTRANGE(""https://docs.google.com/spreadsheets/d/11923uPwbBZFjjGgGUA6NLw09EwE0CqkOc4q9oUmW1yo/edit?usp=sharing"",""กำแพงเพชร!J89"")"),2)</f>
        <v>2</v>
      </c>
      <c r="K164" s="285">
        <f ca="1">IF(I164&gt;0,J164*100/I164,0)</f>
        <v>66.666666666666671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164776</v>
      </c>
      <c r="O271" s="151">
        <f t="shared" ref="O271:O273" ca="1" si="84">IF(L271&gt;0,N271*100/L271,0)</f>
        <v>51.62155388471178</v>
      </c>
      <c r="P271" s="151">
        <f t="shared" ref="P271:P273" ca="1" si="85">IF(M271&gt;0,N271*100/M271,0)</f>
        <v>71.563952225841476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230250</v>
      </c>
      <c r="N273" s="88">
        <f t="shared" ca="1" si="87"/>
        <v>164776</v>
      </c>
      <c r="O273" s="156">
        <f t="shared" ca="1" si="84"/>
        <v>51.62155388471178</v>
      </c>
      <c r="P273" s="156">
        <f t="shared" ca="1" si="85"/>
        <v>71.563952225841476</v>
      </c>
    </row>
    <row r="274" spans="1:16" ht="21.75" customHeight="1" x14ac:dyDescent="0.4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IFERROR(__xludf.DUMMYFUNCTION("IMPORTRANGE(""https://docs.google.com/spreadsheets/d/1Yj_ptqi66GCucihVvJfMjLAmec39IyEx_6qawtMGysU/edit?usp=sharing"",""สบก!CK20"")"),230250)</f>
        <v>230250</v>
      </c>
      <c r="N275" s="168">
        <f ca="1">IFERROR(__xludf.DUMMYFUNCTION("IMPORTRANGE(""https://docs.google.com/spreadsheets/d/1Yj_ptqi66GCucihVvJfMjLAmec39IyEx_6qawtMGysU/edit?usp=sharing"",""สบก!CL20"")"),164776)</f>
        <v>164776</v>
      </c>
      <c r="O275" s="168">
        <f ca="1">IF(L275&gt;0,N275*100/L275,0)</f>
        <v>51.62155388471178</v>
      </c>
      <c r="P275" s="168">
        <f ca="1">IF(M275&gt;0,N275*100/M275,0)</f>
        <v>71.563952225841476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146000</v>
      </c>
      <c r="N310" s="152">
        <f t="shared" ca="1" si="93"/>
        <v>64954.84</v>
      </c>
      <c r="O310" s="151">
        <f t="shared" ref="O310:O312" ca="1" si="94">IF(L310&gt;0,N310*100/L310,0)</f>
        <v>33.378643371017475</v>
      </c>
      <c r="P310" s="151">
        <f t="shared" ref="P310:P312" ca="1" si="95">IF(M310&gt;0,N310*100/M310,0)</f>
        <v>44.489616438356165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146000</v>
      </c>
      <c r="N312" s="88">
        <f t="shared" ca="1" si="97"/>
        <v>64954.84</v>
      </c>
      <c r="O312" s="156">
        <f t="shared" ca="1" si="94"/>
        <v>33.378643371017475</v>
      </c>
      <c r="P312" s="156">
        <f t="shared" ca="1" si="95"/>
        <v>44.489616438356165</v>
      </c>
    </row>
    <row r="313" spans="1:16" ht="21.75" customHeight="1" x14ac:dyDescent="0.4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IFERROR(__xludf.DUMMYFUNCTION("IMPORTRANGE(""https://docs.google.com/spreadsheets/d/1Yj_ptqi66GCucihVvJfMjLAmec39IyEx_6qawtMGysU/edit?usp=sharing"",""สบก!DC20"")"),146000)</f>
        <v>146000</v>
      </c>
      <c r="N314" s="168">
        <f ca="1">IFERROR(__xludf.DUMMYFUNCTION("IMPORTRANGE(""https://docs.google.com/spreadsheets/d/1Yj_ptqi66GCucihVvJfMjLAmec39IyEx_6qawtMGysU/edit?usp=sharing"",""สบก!DD20"")"),64954.84)</f>
        <v>64954.84</v>
      </c>
      <c r="O314" s="168">
        <f ca="1">IF(L314&gt;0,N314*100/L314,0)</f>
        <v>33.378643371017475</v>
      </c>
      <c r="P314" s="168">
        <f ca="1">IF(M314&gt;0,N314*100/M314,0)</f>
        <v>44.489616438356165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IFERROR(__xludf.DUMMYFUNCTION("IMPORTRANGE(""https://docs.google.com/spreadsheets/d/11923uPwbBZFjjGgGUA6NLw09EwE0CqkOc4q9oUmW1yo/edit?usp=sharing"",""กำแพงเพชร!J228"")"),73)</f>
        <v>73</v>
      </c>
      <c r="K328" s="317">
        <f ca="1">IF(I328&gt;0,J328*100/I328,0)</f>
        <v>6.0380479735318442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1987630</v>
      </c>
      <c r="M329" s="152">
        <f t="shared" ca="1" si="98"/>
        <v>1543650</v>
      </c>
      <c r="N329" s="152">
        <f t="shared" ca="1" si="98"/>
        <v>942499.69</v>
      </c>
      <c r="O329" s="151">
        <f t="shared" ref="O329:O331" ca="1" si="99">IF(L329&gt;0,N329*100/L329,0)</f>
        <v>47.418266478167467</v>
      </c>
      <c r="P329" s="151">
        <f t="shared" ref="P329:P331" ca="1" si="100">IF(M329&gt;0,N329*100/M329,0)</f>
        <v>61.056566579211612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1987630</v>
      </c>
      <c r="M331" s="88">
        <f t="shared" ca="1" si="102"/>
        <v>1543650</v>
      </c>
      <c r="N331" s="88">
        <f t="shared" ca="1" si="102"/>
        <v>942499.69</v>
      </c>
      <c r="O331" s="156">
        <f t="shared" ca="1" si="99"/>
        <v>47.418266478167467</v>
      </c>
      <c r="P331" s="156">
        <f t="shared" ca="1" si="100"/>
        <v>61.056566579211612</v>
      </c>
    </row>
    <row r="332" spans="1:16" ht="21.75" customHeight="1" x14ac:dyDescent="0.4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1987630</v>
      </c>
      <c r="M333" s="167">
        <f ca="1">IFERROR(__xludf.DUMMYFUNCTION("IMPORTRANGE(""https://docs.google.com/spreadsheets/d/1Yj_ptqi66GCucihVvJfMjLAmec39IyEx_6qawtMGysU/edit?usp=sharing"",""สบก!DL20"")"),1543650)</f>
        <v>1543650</v>
      </c>
      <c r="N333" s="168">
        <f ca="1">IFERROR(__xludf.DUMMYFUNCTION("IMPORTRANGE(""https://docs.google.com/spreadsheets/d/1Yj_ptqi66GCucihVvJfMjLAmec39IyEx_6qawtMGysU/edit?usp=sharing"",""สบก!DM20"")"),942499.69)</f>
        <v>942499.69</v>
      </c>
      <c r="O333" s="168">
        <f ca="1">IF(L333&gt;0,N333*100/L333,0)</f>
        <v>47.418266478167467</v>
      </c>
      <c r="P333" s="168">
        <f ca="1">IF(M333&gt;0,N333*100/M333,0)</f>
        <v>61.056566579211612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IFERROR(__xludf.DUMMYFUNCTION("IMPORTRANGE(""https://docs.google.com/spreadsheets/d/1Yj_ptqi66GCucihVvJfMjLAmec39IyEx_6qawtMGysU/edit?usp=sharing"",""สบก!DI20"")"),1380530)</f>
        <v>1380530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IFERROR(__xludf.DUMMYFUNCTION("IMPORTRANGE(""https://docs.google.com/spreadsheets/d/11923uPwbBZFjjGgGUA6NLw09EwE0CqkOc4q9oUmW1yo/edit?usp=sharing"",""กำแพงเพชร!J234"")"),288)</f>
        <v>288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IFERROR(__xludf.DUMMYFUNCTION("IMPORTRANGE(""https://docs.google.com/spreadsheets/d/11923uPwbBZFjjGgGUA6NLw09EwE0CqkOc4q9oUmW1yo/edit?usp=sharing"",""กำแพงเพชร!J235"")"),2641.68999999999)</f>
        <v>2641.6899999999901</v>
      </c>
      <c r="K340" s="342">
        <f t="shared" ca="1" si="103"/>
        <v>31.448690476190357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IFERROR(__xludf.DUMMYFUNCTION("IMPORTRANGE(""https://docs.google.com/spreadsheets/d/11923uPwbBZFjjGgGUA6NLw09EwE0CqkOc4q9oUmW1yo/edit?usp=sharing"",""กำแพงเพชร!J236"")"),137)</f>
        <v>137</v>
      </c>
      <c r="K341" s="342">
        <f t="shared" ca="1" si="103"/>
        <v>11.331679073614557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IFERROR(__xludf.DUMMYFUNCTION("IMPORTRANGE(""https://docs.google.com/spreadsheets/d/11923uPwbBZFjjGgGUA6NLw09EwE0CqkOc4q9oUmW1yo/edit?usp=sharing"",""กำแพงเพชร!J237"")"),2079.41)</f>
        <v>2079.41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IFERROR(__xludf.DUMMYFUNCTION("IMPORTRANGE(""https://docs.google.com/spreadsheets/d/11923uPwbBZFjjGgGUA6NLw09EwE0CqkOc4q9oUmW1yo/edit?usp=sharing"",""กำแพงเพชร!J240"")"),73)</f>
        <v>73</v>
      </c>
      <c r="K345" s="342">
        <f t="shared" ca="1" si="103"/>
        <v>6.0380479735318442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IFERROR(__xludf.DUMMYFUNCTION("IMPORTRANGE(""https://docs.google.com/spreadsheets/d/11923uPwbBZFjjGgGUA6NLw09EwE0CqkOc4q9oUmW1yo/edit?usp=sharing"",""กำแพงเพชร!J241"")"),1134.7)</f>
        <v>1134.7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IFERROR(__xludf.DUMMYFUNCTION("IMPORTRANGE(""https://docs.google.com/spreadsheets/d/11923uPwbBZFjjGgGUA6NLw09EwE0CqkOc4q9oUmW1yo/edit?usp=sharing"",""กำแพงเพชร!L242"")"),3400636)</f>
        <v>3400636</v>
      </c>
      <c r="M347" s="357"/>
      <c r="N347" s="357">
        <f ca="1">IFERROR(__xludf.DUMMYFUNCTION("IMPORTRANGE(""https://docs.google.com/spreadsheets/d/11923uPwbBZFjjGgGUA6NLw09EwE0CqkOc4q9oUmW1yo/edit?usp=sharing"",""กำแพงเพชร!M242"")"),768755.45)</f>
        <v>768755.45</v>
      </c>
      <c r="O347" s="357">
        <f ca="1">+IF(L347&gt;0,N347*100/L347,0)</f>
        <v>22.606225717777498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IFERROR(__xludf.DUMMYFUNCTION("IMPORTRANGE(""https://docs.google.com/spreadsheets/d/11923uPwbBZFjjGgGUA6NLw09EwE0CqkOc4q9oUmW1yo/edit?usp=sharing"",""กำแพงเพชร!M275"")"),252335)</f>
        <v>252335</v>
      </c>
      <c r="O380" s="372">
        <f ca="1">+IF(L380&gt;0,N380*100/L380,0)</f>
        <v>24.533796134251158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IFERROR(__xludf.DUMMYFUNCTION("IMPORTRANGE(""https://docs.google.com/spreadsheets/d/11923uPwbBZFjjGgGUA6NLw09EwE0CqkOc4q9oUmW1yo/edit?usp=sharing"",""กำแพงเพชร!M278"")"),252335)</f>
        <v>252335</v>
      </c>
      <c r="O383" s="165">
        <f t="shared" ca="1" si="109"/>
        <v>24.533796134251158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IFERROR(__xludf.DUMMYFUNCTION("IMPORTRANGE(""https://docs.google.com/spreadsheets/d/11923uPwbBZFjjGgGUA6NLw09EwE0CqkOc4q9oUmW1yo/edit?usp=sharing"",""กำแพงเพชร!M280"")"),252335)</f>
        <v>252335</v>
      </c>
      <c r="O385" s="168">
        <f t="shared" ca="1" si="109"/>
        <v>24.533796134251158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IFERROR(__xludf.DUMMYFUNCTION("IMPORTRANGE(""https://docs.google.com/spreadsheets/d/11923uPwbBZFjjGgGUA6NLw09EwE0CqkOc4q9oUmW1yo/edit?usp=sharing"",""กำแพงเพชร!M281"")"),183682)</f>
        <v>183682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IFERROR(__xludf.DUMMYFUNCTION("IMPORTRANGE(""https://docs.google.com/spreadsheets/d/11923uPwbBZFjjGgGUA6NLw09EwE0CqkOc4q9oUmW1yo/edit?usp=sharing"",""กำแพงเพชร!M283"")"),62413)</f>
        <v>62413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IFERROR(__xludf.DUMMYFUNCTION("IMPORTRANGE(""https://docs.google.com/spreadsheets/d/11923uPwbBZFjjGgGUA6NLw09EwE0CqkOc4q9oUmW1yo/edit?usp=sharing"",""กำแพงเพชร!M284"")"),6240)</f>
        <v>6240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IFERROR(__xludf.DUMMYFUNCTION("IMPORTRANGE(""https://docs.google.com/spreadsheets/d/11923uPwbBZFjjGgGUA6NLw09EwE0CqkOc4q9oUmW1yo/edit?usp=sharing"",""กำแพงเพชร!J296"")"),105)</f>
        <v>105</v>
      </c>
      <c r="K401" s="371">
        <f t="shared" ref="K401:K402" ca="1" si="111">IF(I401&gt;0,J401*100/I401,0)</f>
        <v>77.777777777777771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IFERROR(__xludf.DUMMYFUNCTION("IMPORTRANGE(""https://docs.google.com/spreadsheets/d/11923uPwbBZFjjGgGUA6NLw09EwE0CqkOc4q9oUmW1yo/edit?usp=sharing"",""กำแพงเพชร!M296"")"),121123)</f>
        <v>121123</v>
      </c>
      <c r="O401" s="372">
        <f ca="1">+IF(L401&gt;0,N401*100/L401,0)</f>
        <v>75.725539231009691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IFERROR(__xludf.DUMMYFUNCTION("IMPORTRANGE(""https://docs.google.com/spreadsheets/d/11923uPwbBZFjjGgGUA6NLw09EwE0CqkOc4q9oUmW1yo/edit?usp=sharing"",""กำแพงเพชร!J297"")"),35)</f>
        <v>35</v>
      </c>
      <c r="K402" s="371">
        <f t="shared" ca="1" si="111"/>
        <v>77.777777777777771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IFERROR(__xludf.DUMMYFUNCTION("IMPORTRANGE(""https://docs.google.com/spreadsheets/d/11923uPwbBZFjjGgGUA6NLw09EwE0CqkOc4q9oUmW1yo/edit?usp=sharing"",""กำแพงเพชร!M299"")"),121123)</f>
        <v>121123</v>
      </c>
      <c r="O404" s="168">
        <f t="shared" ca="1" si="112"/>
        <v>75.725539231009691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IFERROR(__xludf.DUMMYFUNCTION("IMPORTRANGE(""https://docs.google.com/spreadsheets/d/11923uPwbBZFjjGgGUA6NLw09EwE0CqkOc4q9oUmW1yo/edit?usp=sharing"",""กำแพงเพชร!M301"")"),121123)</f>
        <v>121123</v>
      </c>
      <c r="O406" s="168">
        <f t="shared" ca="1" si="112"/>
        <v>75.725539231009691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IFERROR(__xludf.DUMMYFUNCTION("IMPORTRANGE(""https://docs.google.com/spreadsheets/d/11923uPwbBZFjjGgGUA6NLw09EwE0CqkOc4q9oUmW1yo/edit?usp=sharing"",""กำแพงเพชร!M302"")"),66573)</f>
        <v>66573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IFERROR(__xludf.DUMMYFUNCTION("IMPORTRANGE(""https://docs.google.com/spreadsheets/d/11923uPwbBZFjjGgGUA6NLw09EwE0CqkOc4q9oUmW1yo/edit?usp=sharing"",""กำแพงเพชร!M305"")"),22050)</f>
        <v>22050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IFERROR(__xludf.DUMMYFUNCTION("IMPORTRANGE(""https://docs.google.com/spreadsheets/d/11923uPwbBZFjjGgGUA6NLw09EwE0CqkOc4q9oUmW1yo/edit?usp=sharing"",""กำแพงเพชร!J325"")"),25)</f>
        <v>25</v>
      </c>
      <c r="K430" s="201">
        <f t="shared" ca="1" si="113"/>
        <v>71.428571428571431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IFERROR(__xludf.DUMMYFUNCTION("IMPORTRANGE(""https://docs.google.com/spreadsheets/d/11923uPwbBZFjjGgGUA6NLw09EwE0CqkOc4q9oUmW1yo/edit?usp=sharing"",""กำแพงเพชร!M330"")"),103889)</f>
        <v>103889</v>
      </c>
      <c r="O435" s="411">
        <f t="shared" ref="O435:O439" ca="1" si="114">+IF(L435&gt;0,N435*100/L435,0)</f>
        <v>74.419054441260741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IFERROR(__xludf.DUMMYFUNCTION("IMPORTRANGE(""https://docs.google.com/spreadsheets/d/11923uPwbBZFjjGgGUA6NLw09EwE0CqkOc4q9oUmW1yo/edit?usp=sharing"",""กำแพงเพชร!M332"")"),103889)</f>
        <v>103889</v>
      </c>
      <c r="O437" s="168">
        <f t="shared" ca="1" si="114"/>
        <v>74.419054441260741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IFERROR(__xludf.DUMMYFUNCTION("IMPORTRANGE(""https://docs.google.com/spreadsheets/d/11923uPwbBZFjjGgGUA6NLw09EwE0CqkOc4q9oUmW1yo/edit?usp=sharing"",""กำแพงเพชร!M334"")"),103889)</f>
        <v>103889</v>
      </c>
      <c r="O439" s="168">
        <f t="shared" ca="1" si="114"/>
        <v>74.419054441260741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IFERROR(__xludf.DUMMYFUNCTION("IMPORTRANGE(""https://docs.google.com/spreadsheets/d/11923uPwbBZFjjGgGUA6NLw09EwE0CqkOc4q9oUmW1yo/edit?usp=sharing"",""กำแพงเพชร!M338"")"),15530)</f>
        <v>15530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IFERROR(__xludf.DUMMYFUNCTION("IMPORTRANGE(""https://docs.google.com/spreadsheets/d/11923uPwbBZFjjGgGUA6NLw09EwE0CqkOc4q9oUmW1yo/edit?usp=sharing"",""กำแพงเพชร!L350"")"),1145966)</f>
        <v>1145966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IFERROR(__xludf.DUMMYFUNCTION("IMPORTRANGE(""https://docs.google.com/spreadsheets/d/11923uPwbBZFjjGgGUA6NLw09EwE0CqkOc4q9oUmW1yo/edit?usp=sharing"",""กำแพงเพชร!M350"")"),89158.67)</f>
        <v>89158.67</v>
      </c>
      <c r="O455" s="372">
        <f t="shared" ref="O455:O459" ca="1" si="116">+IF(L455&gt;0,N455*100/L455,0)</f>
        <v>7.7802194829515008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IFERROR(__xludf.DUMMYFUNCTION("IMPORTRANGE(""https://docs.google.com/spreadsheets/d/11923uPwbBZFjjGgGUA6NLw09EwE0CqkOc4q9oUmW1yo/edit?usp=sharing"",""กำแพงเพชร!L352"")"),1145966)</f>
        <v>1145966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IFERROR(__xludf.DUMMYFUNCTION("IMPORTRANGE(""https://docs.google.com/spreadsheets/d/11923uPwbBZFjjGgGUA6NLw09EwE0CqkOc4q9oUmW1yo/edit?usp=sharing"",""กำแพงเพชร!M352"")"),89158.67)</f>
        <v>89158.67</v>
      </c>
      <c r="O457" s="168">
        <f t="shared" ca="1" si="116"/>
        <v>7.7802194829515008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IFERROR(__xludf.DUMMYFUNCTION("IMPORTRANGE(""https://docs.google.com/spreadsheets/d/11923uPwbBZFjjGgGUA6NLw09EwE0CqkOc4q9oUmW1yo/edit?usp=sharing"",""กำแพงเพชร!L354"")"),1145966)</f>
        <v>1145966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IFERROR(__xludf.DUMMYFUNCTION("IMPORTRANGE(""https://docs.google.com/spreadsheets/d/11923uPwbBZFjjGgGUA6NLw09EwE0CqkOc4q9oUmW1yo/edit?usp=sharing"",""กำแพงเพชร!M354"")"),89158.67)</f>
        <v>89158.67</v>
      </c>
      <c r="O459" s="168">
        <f t="shared" ca="1" si="116"/>
        <v>7.7802194829515008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IFERROR(__xludf.DUMMYFUNCTION("IMPORTRANGE(""https://docs.google.com/spreadsheets/d/11923uPwbBZFjjGgGUA6NLw09EwE0CqkOc4q9oUmW1yo/edit?usp=sharing"",""กำแพงเพชร!M357"")"),54266.67)</f>
        <v>54266.67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IFERROR(__xludf.DUMMYFUNCTION("IMPORTRANGE(""https://docs.google.com/spreadsheets/d/11923uPwbBZFjjGgGUA6NLw09EwE0CqkOc4q9oUmW1yo/edit?usp=sharing"",""กำแพงเพชร!M358"")"),34892)</f>
        <v>34892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IFERROR(__xludf.DUMMYFUNCTION("IMPORTRANGE(""https://docs.google.com/spreadsheets/d/11923uPwbBZFjjGgGUA6NLw09EwE0CqkOc4q9oUmW1yo/edit?usp=sharing"",""กำแพงเพชร!M428"")"),29825)</f>
        <v>29825</v>
      </c>
      <c r="O533" s="411">
        <f t="shared" ref="O533:O537" ca="1" si="118">+IF(L533&gt;0,N533*100/L533,0)</f>
        <v>86.826783114992722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IFERROR(__xludf.DUMMYFUNCTION("IMPORTRANGE(""https://docs.google.com/spreadsheets/d/11923uPwbBZFjjGgGUA6NLw09EwE0CqkOc4q9oUmW1yo/edit?usp=sharing"",""กำแพงเพชร!M430"")"),29825)</f>
        <v>29825</v>
      </c>
      <c r="O535" s="168">
        <f t="shared" ca="1" si="118"/>
        <v>86.826783114992722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IFERROR(__xludf.DUMMYFUNCTION("IMPORTRANGE(""https://docs.google.com/spreadsheets/d/11923uPwbBZFjjGgGUA6NLw09EwE0CqkOc4q9oUmW1yo/edit?usp=sharing"",""กำแพงเพชร!M432"")"),29825)</f>
        <v>29825</v>
      </c>
      <c r="O537" s="168">
        <f t="shared" ca="1" si="118"/>
        <v>86.826783114992722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IFERROR(__xludf.DUMMYFUNCTION("IMPORTRANGE(""https://docs.google.com/spreadsheets/d/11923uPwbBZFjjGgGUA6NLw09EwE0CqkOc4q9oUmW1yo/edit?usp=sharing"",""กำแพงเพชร!M436"")"),9665)</f>
        <v>9665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IFERROR(__xludf.DUMMYFUNCTION("IMPORTRANGE(""https://docs.google.com/spreadsheets/d/11923uPwbBZFjjGgGUA6NLw09EwE0CqkOc4q9oUmW1yo/edit?usp=sharing"",""กำแพงเพชร!J446"")"),3706)</f>
        <v>3706</v>
      </c>
      <c r="K551" s="410">
        <f ca="1">IF(I551&gt;0,J551*100/I551,0)</f>
        <v>74.12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IFERROR(__xludf.DUMMYFUNCTION("IMPORTRANGE(""https://docs.google.com/spreadsheets/d/11923uPwbBZFjjGgGUA6NLw09EwE0CqkOc4q9oUmW1yo/edit?usp=sharing"",""กำแพงเพชร!M446"")"),118260.65)</f>
        <v>118260.65</v>
      </c>
      <c r="O551" s="411">
        <f t="shared" ref="O551:O555" ca="1" si="120">+IF(L551&gt;0,N551*100/L551,0)</f>
        <v>36.956453125000003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IFERROR(__xludf.DUMMYFUNCTION("IMPORTRANGE(""https://docs.google.com/spreadsheets/d/11923uPwbBZFjjGgGUA6NLw09EwE0CqkOc4q9oUmW1yo/edit?usp=sharing"",""กำแพงเพชร!M448"")"),118260.65)</f>
        <v>118260.65</v>
      </c>
      <c r="O553" s="168">
        <f t="shared" ca="1" si="120"/>
        <v>36.956453125000003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IFERROR(__xludf.DUMMYFUNCTION("IMPORTRANGE(""https://docs.google.com/spreadsheets/d/11923uPwbBZFjjGgGUA6NLw09EwE0CqkOc4q9oUmW1yo/edit?usp=sharing"",""กำแพงเพชร!M450"")"),118260.65)</f>
        <v>118260.65</v>
      </c>
      <c r="O555" s="168">
        <f t="shared" ca="1" si="120"/>
        <v>36.956453125000003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IFERROR(__xludf.DUMMYFUNCTION("IMPORTRANGE(""https://docs.google.com/spreadsheets/d/11923uPwbBZFjjGgGUA6NLw09EwE0CqkOc4q9oUmW1yo/edit?usp=sharing"",""กำแพงเพชร!M453"")"),26400)</f>
        <v>26400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IFERROR(__xludf.DUMMYFUNCTION("IMPORTRANGE(""https://docs.google.com/spreadsheets/d/11923uPwbBZFjjGgGUA6NLw09EwE0CqkOc4q9oUmW1yo/edit?usp=sharing"",""กำแพงเพชร!M454"")"),91860.65)</f>
        <v>91860.65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IFERROR(__xludf.DUMMYFUNCTION("IMPORTRANGE(""https://docs.google.com/spreadsheets/d/11923uPwbBZFjjGgGUA6NLw09EwE0CqkOc4q9oUmW1yo/edit?usp=sharing"",""กำแพงเพชร!J455"")"),3706)</f>
        <v>3706</v>
      </c>
      <c r="K560" s="224">
        <f t="shared" ref="K560:K561" ca="1" si="121">IF(I560&gt;0,J560*100/I560,0)</f>
        <v>74.12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IFERROR(__xludf.DUMMYFUNCTION("IMPORTRANGE(""https://docs.google.com/spreadsheets/d/11923uPwbBZFjjGgGUA6NLw09EwE0CqkOc4q9oUmW1yo/edit?usp=sharing"",""กำแพงเพชร!J456"")"),260)</f>
        <v>260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IFERROR(__xludf.DUMMYFUNCTION("IMPORTRANGE(""https://docs.google.com/spreadsheets/d/11923uPwbBZFjjGgGUA6NLw09EwE0CqkOc4q9oUmW1yo/edit?usp=sharing"",""กำแพงเพชร!J459"")"),7994)</f>
        <v>7994</v>
      </c>
      <c r="K564" s="371">
        <f ca="1">IF(I564&gt;0,J564*100/I564,0)</f>
        <v>163.14285714285714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IFERROR(__xludf.DUMMYFUNCTION("IMPORTRANGE(""https://docs.google.com/spreadsheets/d/11923uPwbBZFjjGgGUA6NLw09EwE0CqkOc4q9oUmW1yo/edit?usp=sharing"",""กำแพงเพชร!M459"")"),52964.13)</f>
        <v>52964.13</v>
      </c>
      <c r="O564" s="372">
        <f t="shared" ref="O564:O568" ca="1" si="122">+IF(L564&gt;0,N564*100/L564,0)</f>
        <v>31.526267857142859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IFERROR(__xludf.DUMMYFUNCTION("IMPORTRANGE(""https://docs.google.com/spreadsheets/d/11923uPwbBZFjjGgGUA6NLw09EwE0CqkOc4q9oUmW1yo/edit?usp=sharing"",""กำแพงเพชร!M461"")"),52964.13)</f>
        <v>52964.13</v>
      </c>
      <c r="O566" s="168">
        <f t="shared" ca="1" si="122"/>
        <v>31.526267857142859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IFERROR(__xludf.DUMMYFUNCTION("IMPORTRANGE(""https://docs.google.com/spreadsheets/d/11923uPwbBZFjjGgGUA6NLw09EwE0CqkOc4q9oUmW1yo/edit?usp=sharing"",""กำแพงเพชร!M463"")"),52964.13)</f>
        <v>52964.13</v>
      </c>
      <c r="O568" s="168">
        <f t="shared" ca="1" si="122"/>
        <v>31.526267857142859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IFERROR(__xludf.DUMMYFUNCTION("IMPORTRANGE(""https://docs.google.com/spreadsheets/d/11923uPwbBZFjjGgGUA6NLw09EwE0CqkOc4q9oUmW1yo/edit?usp=sharing"",""กำแพงเพชร!M466"")"),40000)</f>
        <v>40000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IFERROR(__xludf.DUMMYFUNCTION("IMPORTRANGE(""https://docs.google.com/spreadsheets/d/11923uPwbBZFjjGgGUA6NLw09EwE0CqkOc4q9oUmW1yo/edit?usp=sharing"",""กำแพงเพชร!M467"")"),12964.13)</f>
        <v>12964.13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IFERROR(__xludf.DUMMYFUNCTION("IMPORTRANGE(""https://docs.google.com/spreadsheets/d/11923uPwbBZFjjGgGUA6NLw09EwE0CqkOc4q9oUmW1yo/edit?usp=sharing"",""กำแพงเพชร!J468"")"),7994)</f>
        <v>7994</v>
      </c>
      <c r="K573" s="201">
        <f ca="1">IF(I573&gt;0,J573*100/I573,0)</f>
        <v>163.14285714285714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IFERROR(__xludf.DUMMYFUNCTION("IMPORTRANGE(""https://docs.google.com/spreadsheets/d/11923uPwbBZFjjGgGUA6NLw09EwE0CqkOc4q9oUmW1yo/edit?usp=sharing"",""กำแพงเพชร!J471"")"),94)</f>
        <v>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IFERROR(__xludf.DUMMYFUNCTION("IMPORTRANGE(""https://docs.google.com/spreadsheets/d/11923uPwbBZFjjGgGUA6NLw09EwE0CqkOc4q9oUmW1yo/edit?usp=sharing"",""กำแพงเพชร!J472"")"),7900)</f>
        <v>7900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IFERROR(__xludf.DUMMYFUNCTION("IMPORTRANGE(""https://docs.google.com/spreadsheets/d/11923uPwbBZFjjGgGUA6NLw09EwE0CqkOc4q9oUmW1yo/edit?usp=sharing"",""กำแพงเพชร!I475"")"),500)</f>
        <v>500</v>
      </c>
      <c r="J580" s="370">
        <f ca="1">IFERROR(__xludf.DUMMYFUNCTION("IMPORTRANGE(""https://docs.google.com/spreadsheets/d/11923uPwbBZFjjGgGUA6NLw09EwE0CqkOc4q9oUmW1yo/edit?usp=sharing"",""กำแพงเพชร!J475"")"),0)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IFERROR(__xludf.DUMMYFUNCTION("IMPORTRANGE(""https://docs.google.com/spreadsheets/d/11923uPwbBZFjjGgGUA6NLw09EwE0CqkOc4q9oUmW1yo/edit?usp=sharing"",""กำแพงเพชร!I484"")"),500)</f>
        <v>500</v>
      </c>
      <c r="J589" s="187">
        <f ca="1">IFERROR(__xludf.DUMMYFUNCTION("IMPORTRANGE(""https://docs.google.com/spreadsheets/d/11923uPwbBZFjjGgGUA6NLw09EwE0CqkOc4q9oUmW1yo/edit?usp=sharing"",""กำแพงเพชร!J484"")"),26)</f>
        <v>26</v>
      </c>
      <c r="K589" s="163">
        <f t="shared" ref="K589:K596" ca="1" si="125">IF(I589&gt;0,J589*100/I589,0)</f>
        <v>5.2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IFERROR(__xludf.DUMMYFUNCTION("IMPORTRANGE(""https://docs.google.com/spreadsheets/d/11923uPwbBZFjjGgGUA6NLw09EwE0CqkOc4q9oUmW1yo/edit?usp=sharing"",""กำแพงเพชร!J485"")"),34.53)</f>
        <v>34.53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IFERROR(__xludf.DUMMYFUNCTION("IMPORTRANGE(""https://docs.google.com/spreadsheets/d/11923uPwbBZFjjGgGUA6NLw09EwE0CqkOc4q9oUmW1yo/edit?usp=sharing"",""กำแพงเพชร!I486"")"),500)</f>
        <v>500</v>
      </c>
      <c r="J591" s="187">
        <f ca="1">IFERROR(__xludf.DUMMYFUNCTION("IMPORTRANGE(""https://docs.google.com/spreadsheets/d/11923uPwbBZFjjGgGUA6NLw09EwE0CqkOc4q9oUmW1yo/edit?usp=sharing"",""กำแพงเพชร!J486"")"),0)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IFERROR(__xludf.DUMMYFUNCTION("IMPORTRANGE(""https://docs.google.com/spreadsheets/d/11923uPwbBZFjjGgGUA6NLw09EwE0CqkOc4q9oUmW1yo/edit?usp=sharing"",""กำแพงเพชร!I488"")"),500)</f>
        <v>500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IFERROR(__xludf.DUMMYFUNCTION("IMPORTRANGE(""https://docs.google.com/spreadsheets/d/11923uPwbBZFjjGgGUA6NLw09EwE0CqkOc4q9oUmW1yo/edit?usp=sharing"",""กำแพงเพชร!I490"")"),500)</f>
        <v>500</v>
      </c>
      <c r="J595" s="187">
        <f ca="1">IFERROR(__xludf.DUMMYFUNCTION("IMPORTRANGE(""https://docs.google.com/spreadsheets/d/11923uPwbBZFjjGgGUA6NLw09EwE0CqkOc4q9oUmW1yo/edit?usp=sharing"",""กำแพงเพชร!J490"")"),0)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7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IFERROR(__xludf.DUMMYFUNCTION("IMPORTRANGE(""https://docs.google.com/spreadsheets/d/11923uPwbBZFjjGgGUA6NLw09EwE0CqkOc4q9oUmW1yo/edit?usp=sharing"",""กำแพงเพชร!J523"")"),1233000)</f>
        <v>1233000</v>
      </c>
      <c r="K628" s="342">
        <f t="shared" ref="K628:K635" ca="1" si="129">IF(I628&gt;0,J628*100/I628,0)</f>
        <v>24.66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IFERROR(__xludf.DUMMYFUNCTION("IMPORTRANGE(""https://docs.google.com/spreadsheets/d/11923uPwbBZFjjGgGUA6NLw09EwE0CqkOc4q9oUmW1yo/edit?usp=sharing"",""กำแพงเพชร!J524"")"),41)</f>
        <v>41</v>
      </c>
      <c r="K629" s="342">
        <f t="shared" ca="1" si="129"/>
        <v>25.465838509316772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IFERROR(__xludf.DUMMYFUNCTION("IMPORTRANGE(""https://docs.google.com/spreadsheets/d/11923uPwbBZFjjGgGUA6NLw09EwE0CqkOc4q9oUmW1yo/edit?usp=sharing"",""กำแพงเพชร!J525"")"),1047137.13)</f>
        <v>1047137.13</v>
      </c>
      <c r="K630" s="342">
        <f t="shared" ca="1" si="129"/>
        <v>21.069427971591612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IFERROR(__xludf.DUMMYFUNCTION("IMPORTRANGE(""https://docs.google.com/spreadsheets/d/11923uPwbBZFjjGgGUA6NLw09EwE0CqkOc4q9oUmW1yo/edit?usp=sharing"",""กำแพงเพชร!J526"")"),60)</f>
        <v>60</v>
      </c>
      <c r="K631" s="342">
        <f t="shared" ca="1" si="129"/>
        <v>47.61904761904762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IFERROR(__xludf.DUMMYFUNCTION("IMPORTRANGE(""https://docs.google.com/spreadsheets/d/11923uPwbBZFjjGgGUA6NLw09EwE0CqkOc4q9oUmW1yo/edit?usp=sharing"",""กำแพงเพชร!J527"")"),973844.61)</f>
        <v>973844.61</v>
      </c>
      <c r="K632" s="342">
        <f t="shared" ca="1" si="129"/>
        <v>38.624546448599354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IFERROR(__xludf.DUMMYFUNCTION("IMPORTRANGE(""https://docs.google.com/spreadsheets/d/11923uPwbBZFjjGgGUA6NLw09EwE0CqkOc4q9oUmW1yo/edit?usp=sharing"",""กำแพงเพชร!J528"")"),182)</f>
        <v>182</v>
      </c>
      <c r="K633" s="342">
        <f t="shared" ca="1" si="129"/>
        <v>62.116040955631398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IFERROR(__xludf.DUMMYFUNCTION("IMPORTRANGE(""https://docs.google.com/spreadsheets/d/11923uPwbBZFjjGgGUA6NLw09EwE0CqkOc4q9oUmW1yo/edit?usp=sharing"",""กำแพงเพชร!J529"")"),3090000)</f>
        <v>3090000</v>
      </c>
      <c r="K634" s="342">
        <f t="shared" ca="1" si="129"/>
        <v>61.8</v>
      </c>
      <c r="L634" s="342"/>
      <c r="M634" s="342"/>
      <c r="N634" s="342"/>
      <c r="O634" s="168"/>
      <c r="P634" s="168"/>
    </row>
    <row r="635" spans="1:16" ht="21.75" customHeight="1" x14ac:dyDescent="0.3">
      <c r="A635" s="556"/>
      <c r="B635" s="557"/>
      <c r="C635" s="557"/>
      <c r="D635" s="558"/>
      <c r="E635" s="559"/>
      <c r="F635" s="559"/>
      <c r="G635" s="560"/>
      <c r="H635" s="503" t="s">
        <v>37</v>
      </c>
      <c r="I635" s="504">
        <f ca="1">IFERROR(__xludf.DUMMYFUNCTION("IMPORTRANGE(""https://docs.google.com/spreadsheets/d/11923uPwbBZFjjGgGUA6NLw09EwE0CqkOc4q9oUmW1yo/edit?usp=sharing"",""กำแพงเพชร!I530"")"),164)</f>
        <v>164</v>
      </c>
      <c r="J635" s="504">
        <f ca="1">IFERROR(__xludf.DUMMYFUNCTION("IMPORTRANGE(""https://docs.google.com/spreadsheets/d/11923uPwbBZFjjGgGUA6NLw09EwE0CqkOc4q9oUmW1yo/edit?usp=sharing"",""กำแพงเพชร!J530"")"),103)</f>
        <v>103</v>
      </c>
      <c r="K635" s="486">
        <f t="shared" ca="1" si="129"/>
        <v>62.804878048780488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IFERROR(__xludf.DUMMYFUNCTION("IMPORTRANGE(""https://docs.google.com/spreadsheets/d/11923uPwbBZFjjGgGUA6NLw09EwE0CqkOc4q9oUmW1yo/edit?usp=sharing"",""กำแพงเพชร!J541"")"),0)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IFERROR(__xludf.DUMMYFUNCTION("IMPORTRANGE(""https://docs.google.com/spreadsheets/d/11923uPwbBZFjjGgGUA6NLw09EwE0CqkOc4q9oUmW1yo/edit?usp=sharing"",""กำแพงเพชร!J542"")"),0)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IFERROR(__xludf.DUMMYFUNCTION("IMPORTRANGE(""https://docs.google.com/spreadsheets/d/11923uPwbBZFjjGgGUA6NLw09EwE0CqkOc4q9oUmW1yo/edit?usp=sharing"",""กำแพงเพชร!I543"")"),0)</f>
        <v>0</v>
      </c>
      <c r="J648" s="535">
        <f ca="1">IFERROR(__xludf.DUMMYFUNCTION("IMPORTRANGE(""https://docs.google.com/spreadsheets/d/11923uPwbBZFjjGgGUA6NLw09EwE0CqkOc4q9oUmW1yo/edit?usp=sharing"",""กำแพงเพชร!J543"")"),0)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IFERROR(__xludf.DUMMYFUNCTION("IMPORTRANGE(""https://docs.google.com/spreadsheets/d/11923uPwbBZFjjGgGUA6NLw09EwE0CqkOc4q9oUmW1yo/edit?usp=sharing"",""กำแพงเพชร!L543"")"),0)</f>
        <v>0</v>
      </c>
      <c r="M648" s="520"/>
      <c r="N648" s="537">
        <f ca="1">IFERROR(__xludf.DUMMYFUNCTION("IMPORTRANGE(""https://docs.google.com/spreadsheets/d/11923uPwbBZFjjGgGUA6NLw09EwE0CqkOc4q9oUmW1yo/edit?usp=sharing"",""กำแพงเพชร!M543"")"),0)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IFERROR(__xludf.DUMMYFUNCTION("IMPORTRANGE(""https://docs.google.com/spreadsheets/d/11923uPwbBZFjjGgGUA6NLw09EwE0CqkOc4q9oUmW1yo/edit?usp=sharing"",""กำแพงเพชร!I544"")"),0)</f>
        <v>0</v>
      </c>
      <c r="J649" s="535">
        <f ca="1">IFERROR(__xludf.DUMMYFUNCTION("IMPORTRANGE(""https://docs.google.com/spreadsheets/d/11923uPwbBZFjjGgGUA6NLw09EwE0CqkOc4q9oUmW1yo/edit?usp=sharing"",""กำแพงเพชร!J544"")"),0)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IFERROR(__xludf.DUMMYFUNCTION("IMPORTRANGE(""https://docs.google.com/spreadsheets/d/11923uPwbBZFjjGgGUA6NLw09EwE0CqkOc4q9oUmW1yo/edit?usp=sharing"",""กำแพงเพชร!L544"")"),0)</f>
        <v>0</v>
      </c>
      <c r="M649" s="520"/>
      <c r="N649" s="537">
        <f ca="1">IFERROR(__xludf.DUMMYFUNCTION("IMPORTRANGE(""https://docs.google.com/spreadsheets/d/11923uPwbBZFjjGgGUA6NLw09EwE0CqkOc4q9oUmW1yo/edit?usp=sharing"",""กำแพงเพชร!M544"")"),0)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IFERROR(__xludf.DUMMYFUNCTION("IMPORTRANGE(""https://docs.google.com/spreadsheets/d/11923uPwbBZFjjGgGUA6NLw09EwE0CqkOc4q9oUmW1yo/edit?usp=sharing"",""กำแพงเพชร!I545"")"),0)</f>
        <v>0</v>
      </c>
      <c r="J650" s="535">
        <f ca="1">IFERROR(__xludf.DUMMYFUNCTION("IMPORTRANGE(""https://docs.google.com/spreadsheets/d/11923uPwbBZFjjGgGUA6NLw09EwE0CqkOc4q9oUmW1yo/edit?usp=sharing"",""กำแพงเพชร!J545"")"),0)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IFERROR(__xludf.DUMMYFUNCTION("IMPORTRANGE(""https://docs.google.com/spreadsheets/d/11923uPwbBZFjjGgGUA6NLw09EwE0CqkOc4q9oUmW1yo/edit?usp=sharing"",""กำแพงเพชร!L545"")"),0)</f>
        <v>0</v>
      </c>
      <c r="M650" s="520"/>
      <c r="N650" s="537">
        <f ca="1">IFERROR(__xludf.DUMMYFUNCTION("IMPORTRANGE(""https://docs.google.com/spreadsheets/d/11923uPwbBZFjjGgGUA6NLw09EwE0CqkOc4q9oUmW1yo/edit?usp=sharing"",""กำแพงเพชร!M545"")"),0)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IFERROR(__xludf.DUMMYFUNCTION("IMPORTRANGE(""https://docs.google.com/spreadsheets/d/11923uPwbBZFjjGgGUA6NLw09EwE0CqkOc4q9oUmW1yo/edit?usp=sharing"",""กำแพงเพชร!I546"")"),0)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IFERROR(__xludf.DUMMYFUNCTION("IMPORTRANGE(""https://docs.google.com/spreadsheets/d/11923uPwbBZFjjGgGUA6NLw09EwE0CqkOc4q9oUmW1yo/edit?usp=sharing"",""กำแพงเพชร!L546"")"),0)</f>
        <v>0</v>
      </c>
      <c r="M651" s="520"/>
      <c r="N651" s="537">
        <f ca="1">IFERROR(__xludf.DUMMYFUNCTION("IMPORTRANGE(""https://docs.google.com/spreadsheets/d/11923uPwbBZFjjGgGUA6NLw09EwE0CqkOc4q9oUmW1yo/edit?usp=sharing"",""กำแพงเพชร!M546"")"),0)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IFERROR(__xludf.DUMMYFUNCTION("IMPORTRANGE(""https://docs.google.com/spreadsheets/d/11923uPwbBZFjjGgGUA6NLw09EwE0CqkOc4q9oUmW1yo/edit?usp=sharing"",""กำแพงเพชร!J547"")"),0)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IFERROR(__xludf.DUMMYFUNCTION("IMPORTRANGE(""https://docs.google.com/spreadsheets/d/11923uPwbBZFjjGgGUA6NLw09EwE0CqkOc4q9oUmW1yo/edit?usp=sharing"",""กำแพงเพชร!J548"")"),0)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IFERROR(__xludf.DUMMYFUNCTION("IMPORTRANGE(""https://docs.google.com/spreadsheets/d/11923uPwbBZFjjGgGUA6NLw09EwE0CqkOc4q9oUmW1yo/edit?usp=sharing"",""กำแพงเพชร!J550"")"),0)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IFERROR(__xludf.DUMMYFUNCTION("IMPORTRANGE(""https://docs.google.com/spreadsheets/d/11923uPwbBZFjjGgGUA6NLw09EwE0CqkOc4q9oUmW1yo/edit?usp=sharing"",""กำแพงเพชร!J551"")"),0)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IFERROR(__xludf.DUMMYFUNCTION("IMPORTRANGE(""https://docs.google.com/spreadsheets/d/11923uPwbBZFjjGgGUA6NLw09EwE0CqkOc4q9oUmW1yo/edit?usp=sharing"",""กำแพงเพชร!J552"")"),0)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IFERROR(__xludf.DUMMYFUNCTION("IMPORTRANGE(""https://docs.google.com/spreadsheets/d/11923uPwbBZFjjGgGUA6NLw09EwE0CqkOc4q9oUmW1yo/edit?usp=sharing"",""กำแพงเพชร!J553"")"),0)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IFERROR(__xludf.DUMMYFUNCTION("IMPORTRANGE(""https://docs.google.com/spreadsheets/d/11923uPwbBZFjjGgGUA6NLw09EwE0CqkOc4q9oUmW1yo/edit?usp=sharing"",""กำแพงเพชร!J554"")"),0)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IFERROR(__xludf.DUMMYFUNCTION("IMPORTRANGE(""https://docs.google.com/spreadsheets/d/11923uPwbBZFjjGgGUA6NLw09EwE0CqkOc4q9oUmW1yo/edit?usp=sharing"",""กำแพงเพชร!J555"")"),0)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IFERROR(__xludf.DUMMYFUNCTION("IMPORTRANGE(""https://docs.google.com/spreadsheets/d/11923uPwbBZFjjGgGUA6NLw09EwE0CqkOc4q9oUmW1yo/edit?usp=sharing"",""กำแพงเพชร!J556"")"),0)</f>
        <v>0</v>
      </c>
      <c r="K661" s="536"/>
      <c r="L661" s="521">
        <f ca="1">IFERROR(__xludf.DUMMYFUNCTION("IMPORTRANGE(""https://docs.google.com/spreadsheets/d/11923uPwbBZFjjGgGUA6NLw09EwE0CqkOc4q9oUmW1yo/edit?usp=sharing"",""กำแพงเพชร!L556"")"),0)</f>
        <v>0</v>
      </c>
      <c r="M661" s="520"/>
      <c r="N661" s="537">
        <f ca="1">IFERROR(__xludf.DUMMYFUNCTION("IMPORTRANGE(""https://docs.google.com/spreadsheets/d/11923uPwbBZFjjGgGUA6NLw09EwE0CqkOc4q9oUmW1yo/edit?usp=sharing"",""กำแพงเพชร!M556"")"),0)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IFERROR(__xludf.DUMMYFUNCTION("IMPORTRANGE(""https://docs.google.com/spreadsheets/d/11923uPwbBZFjjGgGUA6NLw09EwE0CqkOc4q9oUmW1yo/edit?usp=sharing"",""กำแพงเพชร!J557"")"),0)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IFERROR(__xludf.DUMMYFUNCTION("IMPORTRANGE(""https://docs.google.com/spreadsheets/d/11923uPwbBZFjjGgGUA6NLw09EwE0CqkOc4q9oUmW1yo/edit?usp=sharing"",""กำแพงเพชร!I558"")"),0)</f>
        <v>0</v>
      </c>
      <c r="J663" s="535">
        <f ca="1">IFERROR(__xludf.DUMMYFUNCTION("IMPORTRANGE(""https://docs.google.com/spreadsheets/d/11923uPwbBZFjjGgGUA6NLw09EwE0CqkOc4q9oUmW1yo/edit?usp=sharing"",""กำแพงเพชร!J558"")"),0)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IFERROR(__xludf.DUMMYFUNCTION("IMPORTRANGE(""https://docs.google.com/spreadsheets/d/11923uPwbBZFjjGgGUA6NLw09EwE0CqkOc4q9oUmW1yo/edit?usp=sharing"",""กำแพงเพชร!I560"")"),0)</f>
        <v>0</v>
      </c>
      <c r="J665" s="535">
        <f ca="1">IFERROR(__xludf.DUMMYFUNCTION("IMPORTRANGE(""https://docs.google.com/spreadsheets/d/11923uPwbBZFjjGgGUA6NLw09EwE0CqkOc4q9oUmW1yo/edit?usp=sharing"",""กำแพงเพชร!J560"")"),0)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IFERROR(__xludf.DUMMYFUNCTION("IMPORTRANGE(""https://docs.google.com/spreadsheets/d/11923uPwbBZFjjGgGUA6NLw09EwE0CqkOc4q9oUmW1yo/edit?usp=sharing"",""กำแพงเพชร!L560"")"),0)</f>
        <v>0</v>
      </c>
      <c r="M665" s="520"/>
      <c r="N665" s="537">
        <f ca="1">IFERROR(__xludf.DUMMYFUNCTION("IMPORTRANGE(""https://docs.google.com/spreadsheets/d/11923uPwbBZFjjGgGUA6NLw09EwE0CqkOc4q9oUmW1yo/edit?usp=sharing"",""กำแพงเพชร!M560"")"),0)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IFERROR(__xludf.DUMMYFUNCTION("IMPORTRANGE(""https://docs.google.com/spreadsheets/d/11923uPwbBZFjjGgGUA6NLw09EwE0CqkOc4q9oUmW1yo/edit?usp=sharing"",""กำแพงเพชร!J561"")"),0)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IFERROR(__xludf.DUMMYFUNCTION("IMPORTRANGE(""https://docs.google.com/spreadsheets/d/11923uPwbBZFjjGgGUA6NLw09EwE0CqkOc4q9oUmW1yo/edit?usp=sharing"",""กำแพงเพชร!J562"")"),0)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IFERROR(__xludf.DUMMYFUNCTION("IMPORTRANGE(""https://docs.google.com/spreadsheets/d/11923uPwbBZFjjGgGUA6NLw09EwE0CqkOc4q9oUmW1yo/edit?usp=sharing"",""กำแพงเพชร!I563"")"),0)</f>
        <v>0</v>
      </c>
      <c r="J668" s="535">
        <f ca="1">IFERROR(__xludf.DUMMYFUNCTION("IMPORTRANGE(""https://docs.google.com/spreadsheets/d/11923uPwbBZFjjGgGUA6NLw09EwE0CqkOc4q9oUmW1yo/edit?usp=sharing"",""กำแพงเพชร!J563"")"),0)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IFERROR(__xludf.DUMMYFUNCTION("IMPORTRANGE(""https://docs.google.com/spreadsheets/d/11923uPwbBZFjjGgGUA6NLw09EwE0CqkOc4q9oUmW1yo/edit?usp=sharing"",""กำแพงเพชร!L563"")"),0)</f>
        <v>0</v>
      </c>
      <c r="M668" s="520"/>
      <c r="N668" s="537">
        <f ca="1">IFERROR(__xludf.DUMMYFUNCTION("IMPORTRANGE(""https://docs.google.com/spreadsheets/d/11923uPwbBZFjjGgGUA6NLw09EwE0CqkOc4q9oUmW1yo/edit?usp=sharing"",""กำแพงเพชร!M563"")"),0)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IFERROR(__xludf.DUMMYFUNCTION("IMPORTRANGE(""https://docs.google.com/spreadsheets/d/11923uPwbBZFjjGgGUA6NLw09EwE0CqkOc4q9oUmW1yo/edit?usp=sharing"",""กำแพงเพชร!J564"")"),0)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IFERROR(__xludf.DUMMYFUNCTION("IMPORTRANGE(""https://docs.google.com/spreadsheets/d/11923uPwbBZFjjGgGUA6NLw09EwE0CqkOc4q9oUmW1yo/edit?usp=sharing"",""กำแพงเพชร!J565"")"),0)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IFERROR(__xludf.DUMMYFUNCTION("IMPORTRANGE(""https://docs.google.com/spreadsheets/d/11923uPwbBZFjjGgGUA6NLw09EwE0CqkOc4q9oUmW1yo/edit?usp=sharing"",""กำแพงเพชร!I566"")"),0)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IFERROR(__xludf.DUMMYFUNCTION("IMPORTRANGE(""https://docs.google.com/spreadsheets/d/11923uPwbBZFjjGgGUA6NLw09EwE0CqkOc4q9oUmW1yo/edit?usp=sharing"",""กำแพงเพชร!L566"")"),0)</f>
        <v>0</v>
      </c>
      <c r="M671" s="520"/>
      <c r="N671" s="537">
        <f ca="1">IFERROR(__xludf.DUMMYFUNCTION("IMPORTRANGE(""https://docs.google.com/spreadsheets/d/11923uPwbBZFjjGgGUA6NLw09EwE0CqkOc4q9oUmW1yo/edit?usp=sharing"",""กำแพงเพชร!M566"")"),0)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IFERROR(__xludf.DUMMYFUNCTION("IMPORTRANGE(""https://docs.google.com/spreadsheets/d/11923uPwbBZFjjGgGUA6NLw09EwE0CqkOc4q9oUmW1yo/edit?usp=sharing"",""กำแพงเพชร!J567"")"),0)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IFERROR(__xludf.DUMMYFUNCTION("IMPORTRANGE(""https://docs.google.com/spreadsheets/d/11923uPwbBZFjjGgGUA6NLw09EwE0CqkOc4q9oUmW1yo/edit?usp=sharing"",""กำแพงเพชร!J568"")"),0)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IFERROR(__xludf.DUMMYFUNCTION("IMPORTRANGE(""https://docs.google.com/spreadsheets/d/11923uPwbBZFjjGgGUA6NLw09EwE0CqkOc4q9oUmW1yo/edit?usp=sharing"",""กำแพงเพชร!J569"")"),0)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IFERROR(__xludf.DUMMYFUNCTION("IMPORTRANGE(""https://docs.google.com/spreadsheets/d/11923uPwbBZFjjGgGUA6NLw09EwE0CqkOc4q9oUmW1yo/edit?usp=sharing"",""กำแพงเพชร!J570"")"),0)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IFERROR(__xludf.DUMMYFUNCTION("IMPORTRANGE(""https://docs.google.com/spreadsheets/d/11923uPwbBZFjjGgGUA6NLw09EwE0CqkOc4q9oUmW1yo/edit?usp=sharing"",""กำแพงเพชร!J571"")"),0)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IFERROR(__xludf.DUMMYFUNCTION("IMPORTRANGE(""https://docs.google.com/spreadsheets/d/11923uPwbBZFjjGgGUA6NLw09EwE0CqkOc4q9oUmW1yo/edit?usp=sharing"",""กำแพงเพชร!J572"")"),0)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D297:E297"/>
    <mergeCell ref="D310:G310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21:F21"/>
    <mergeCell ref="D25:E25"/>
    <mergeCell ref="A27:G27"/>
    <mergeCell ref="D28:G28"/>
    <mergeCell ref="D31:F3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A1:P1"/>
    <mergeCell ref="A2:P2"/>
    <mergeCell ref="A3:P3"/>
    <mergeCell ref="F650:G650"/>
    <mergeCell ref="F651:G651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262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7104559</v>
      </c>
      <c r="M8" s="23">
        <f t="shared" ca="1" si="0"/>
        <v>3757557</v>
      </c>
      <c r="N8" s="23">
        <f t="shared" ca="1" si="0"/>
        <v>4124836.1499999994</v>
      </c>
      <c r="O8" s="22">
        <f t="shared" ref="O8:O16" ca="1" si="1">IF(L8&gt;0,N8*100/L8,0)</f>
        <v>58.059003380786891</v>
      </c>
      <c r="P8" s="22">
        <f t="shared" ref="P8:P16" ca="1" si="2">IF(M8&gt;0,N8*100/M8,0)</f>
        <v>109.77441326904687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7104559</v>
      </c>
      <c r="M10" s="30">
        <f t="shared" ca="1" si="4"/>
        <v>3757557</v>
      </c>
      <c r="N10" s="30">
        <f t="shared" ca="1" si="4"/>
        <v>4124836.1499999994</v>
      </c>
      <c r="O10" s="29">
        <f t="shared" ca="1" si="1"/>
        <v>58.059003380786891</v>
      </c>
      <c r="P10" s="29">
        <f t="shared" ca="1" si="2"/>
        <v>109.77441326904687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6919759</v>
      </c>
      <c r="M12" s="39">
        <f t="shared" ca="1" si="6"/>
        <v>3572757</v>
      </c>
      <c r="N12" s="39">
        <f t="shared" ca="1" si="6"/>
        <v>3940036.1499999994</v>
      </c>
      <c r="O12" s="39">
        <f t="shared" ca="1" si="1"/>
        <v>56.938921572268619</v>
      </c>
      <c r="P12" s="39">
        <f t="shared" ca="1" si="2"/>
        <v>110.27999245400679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4174059</v>
      </c>
      <c r="M14" s="39">
        <f t="shared" si="8"/>
        <v>0</v>
      </c>
      <c r="N14" s="39">
        <f t="shared" ca="1" si="8"/>
        <v>1093725.95</v>
      </c>
      <c r="O14" s="39">
        <f t="shared" ca="1" si="1"/>
        <v>26.202934601547319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184800</v>
      </c>
      <c r="M16" s="39">
        <f t="shared" ca="1" si="10"/>
        <v>184800</v>
      </c>
      <c r="N16" s="39">
        <f t="shared" ca="1" si="10"/>
        <v>184800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3757557</v>
      </c>
      <c r="N18" s="23">
        <f t="shared" ca="1" si="11"/>
        <v>3031110.1999999997</v>
      </c>
      <c r="O18" s="22">
        <f t="shared" ref="O18:O20" ca="1" si="12">IF(L18&gt;0,N18*100/L18,0)</f>
        <v>65.413903240147263</v>
      </c>
      <c r="P18" s="22">
        <f t="shared" ref="P18:P26" ca="1" si="13">IF(M18&gt;0,N18*100/M18,0)</f>
        <v>80.667045104039673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3757557</v>
      </c>
      <c r="N20" s="30">
        <f t="shared" ca="1" si="15"/>
        <v>3031110.1999999997</v>
      </c>
      <c r="O20" s="29">
        <f t="shared" ca="1" si="12"/>
        <v>65.413903240147263</v>
      </c>
      <c r="P20" s="29">
        <f t="shared" ca="1" si="13"/>
        <v>80.667045104039673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4448940</v>
      </c>
      <c r="M22" s="42">
        <f t="shared" ca="1" si="18"/>
        <v>3572757</v>
      </c>
      <c r="N22" s="39">
        <f t="shared" ca="1" si="18"/>
        <v>2846310.1999999997</v>
      </c>
      <c r="O22" s="39">
        <f t="shared" ca="1" si="17"/>
        <v>63.977266494940366</v>
      </c>
      <c r="P22" s="39">
        <f t="shared" ca="1" si="13"/>
        <v>79.66705264309887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1703240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184800</v>
      </c>
      <c r="M26" s="50">
        <f t="shared" ca="1" si="22"/>
        <v>184800</v>
      </c>
      <c r="N26" s="50">
        <f t="shared" ca="1" si="22"/>
        <v>184800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2470819</v>
      </c>
      <c r="M28" s="23">
        <f t="shared" si="23"/>
        <v>0</v>
      </c>
      <c r="N28" s="23">
        <f t="shared" ca="1" si="23"/>
        <v>1093725.95</v>
      </c>
      <c r="O28" s="22">
        <f t="shared" ref="O28:O30" ca="1" si="24">IF(L28&gt;0,N28*100/L28,0)</f>
        <v>44.265725251424733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2470819</v>
      </c>
      <c r="M30" s="30">
        <f t="shared" si="27"/>
        <v>0</v>
      </c>
      <c r="N30" s="30">
        <f t="shared" ca="1" si="27"/>
        <v>1093725.95</v>
      </c>
      <c r="O30" s="29">
        <f t="shared" ca="1" si="24"/>
        <v>44.265725251424733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2470819</v>
      </c>
      <c r="M32" s="39">
        <f t="shared" si="30"/>
        <v>0</v>
      </c>
      <c r="N32" s="39">
        <f t="shared" ca="1" si="30"/>
        <v>1093725.95</v>
      </c>
      <c r="O32" s="39">
        <f t="shared" ca="1" si="29"/>
        <v>44.265725251424733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2470819</v>
      </c>
      <c r="M34" s="39">
        <f t="shared" si="32"/>
        <v>0</v>
      </c>
      <c r="N34" s="39">
        <f t="shared" ca="1" si="32"/>
        <v>1093725.95</v>
      </c>
      <c r="O34" s="39">
        <f t="shared" ca="1" si="29"/>
        <v>44.265725251424733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4633740</v>
      </c>
      <c r="M37" s="55">
        <f t="shared" ca="1" si="33"/>
        <v>3757557</v>
      </c>
      <c r="N37" s="55">
        <f t="shared" ca="1" si="33"/>
        <v>3031110.1999999997</v>
      </c>
      <c r="O37" s="56">
        <f t="shared" ca="1" si="29"/>
        <v>65.413903240147263</v>
      </c>
      <c r="P37" s="56">
        <f t="shared" ca="1" si="25"/>
        <v>80.667045104039673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563100</v>
      </c>
      <c r="N41" s="79">
        <f t="shared" ca="1" si="34"/>
        <v>486265.01</v>
      </c>
      <c r="O41" s="78">
        <f t="shared" ref="O41:O43" ca="1" si="35">IF(L41&gt;0,N41*100/L41,0)</f>
        <v>64.774878113760494</v>
      </c>
      <c r="P41" s="78">
        <f t="shared" ref="P41:P43" ca="1" si="36">IF(M41&gt;0,N41*100/M41,0)</f>
        <v>86.355000887941756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563100</v>
      </c>
      <c r="N43" s="79">
        <f t="shared" ca="1" si="38"/>
        <v>486265.01</v>
      </c>
      <c r="O43" s="78">
        <f t="shared" ca="1" si="35"/>
        <v>64.774878113760494</v>
      </c>
      <c r="P43" s="78">
        <f t="shared" ca="1" si="36"/>
        <v>86.355000887941756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IFERROR(__xludf.DUMMYFUNCTION("IMPORTRANGE(""https://docs.google.com/spreadsheets/d/1Yj_ptqi66GCucihVvJfMjLAmec39IyEx_6qawtMGysU/edit?usp=sharing"",""สบก!Q21"")"),563100)</f>
        <v>563100</v>
      </c>
      <c r="N45" s="50">
        <f ca="1">IFERROR(__xludf.DUMMYFUNCTION("IMPORTRANGE(""https://docs.google.com/spreadsheets/d/1Yj_ptqi66GCucihVvJfMjLAmec39IyEx_6qawtMGysU/edit?usp=sharing"",""สบก!R21"")"),486265.01)</f>
        <v>486265.01</v>
      </c>
      <c r="O45" s="39">
        <f ca="1">IF(L45&gt;0,N45*100/L45,0)</f>
        <v>64.774878113760494</v>
      </c>
      <c r="P45" s="39">
        <f ca="1">IF(M45&gt;0,N45*100/M45,0)</f>
        <v>86.355000887941756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552872</v>
      </c>
      <c r="N53" s="121">
        <f t="shared" ca="1" si="39"/>
        <v>465196.39</v>
      </c>
      <c r="O53" s="120">
        <f t="shared" ref="O53:O55" ca="1" si="40">IF(L53&gt;0,N53*100/L53,0)</f>
        <v>66.456627142857144</v>
      </c>
      <c r="P53" s="120">
        <f t="shared" ref="P53:P55" ca="1" si="41">IF(M53&gt;0,N53*100/M53,0)</f>
        <v>84.141788696117729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552872</v>
      </c>
      <c r="N55" s="121">
        <f t="shared" ca="1" si="43"/>
        <v>465196.39</v>
      </c>
      <c r="O55" s="120">
        <f t="shared" ca="1" si="40"/>
        <v>66.456627142857144</v>
      </c>
      <c r="P55" s="120">
        <f t="shared" ca="1" si="41"/>
        <v>84.141788696117729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IFERROR(__xludf.DUMMYFUNCTION("IMPORTRANGE(""https://docs.google.com/spreadsheets/d/1Yj_ptqi66GCucihVvJfMjLAmec39IyEx_6qawtMGysU/edit?usp=sharing"",""สบก!Z21"")"),552872)</f>
        <v>552872</v>
      </c>
      <c r="N57" s="50">
        <f ca="1">IFERROR(__xludf.DUMMYFUNCTION("IMPORTRANGE(""https://docs.google.com/spreadsheets/d/1Yj_ptqi66GCucihVvJfMjLAmec39IyEx_6qawtMGysU/edit?usp=sharing"",""สบก!AA21"")"),465196.39)</f>
        <v>465196.39</v>
      </c>
      <c r="O57" s="39">
        <f ca="1">IF(L57&gt;0,N57*100/L57,0)</f>
        <v>66.456627142857144</v>
      </c>
      <c r="P57" s="39">
        <f ca="1">IF(M57&gt;0,N57*100/M57,0)</f>
        <v>84.141788696117729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548000</v>
      </c>
      <c r="M66" s="152">
        <f t="shared" ca="1" si="45"/>
        <v>475620</v>
      </c>
      <c r="N66" s="152">
        <f t="shared" ca="1" si="45"/>
        <v>361910</v>
      </c>
      <c r="O66" s="151">
        <f t="shared" ref="O66:O68" ca="1" si="46">IF(L66&gt;0,N66*100/L66,0)</f>
        <v>66.041970802919707</v>
      </c>
      <c r="P66" s="151">
        <f t="shared" ref="P66:P68" ca="1" si="47">IF(M66&gt;0,N66*100/M66,0)</f>
        <v>76.092258525713802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548000</v>
      </c>
      <c r="M68" s="88">
        <f t="shared" ca="1" si="49"/>
        <v>475620</v>
      </c>
      <c r="N68" s="88">
        <f t="shared" ca="1" si="49"/>
        <v>361910</v>
      </c>
      <c r="O68" s="156">
        <f t="shared" ca="1" si="46"/>
        <v>66.041970802919707</v>
      </c>
      <c r="P68" s="156">
        <f t="shared" ca="1" si="47"/>
        <v>76.092258525713802</v>
      </c>
    </row>
    <row r="69" spans="1:16" ht="21.75" customHeight="1" x14ac:dyDescent="0.4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IFERROR(__xludf.DUMMYFUNCTION("IMPORTRANGE(""https://docs.google.com/spreadsheets/d/1Yj_ptqi66GCucihVvJfMjLAmec39IyEx_6qawtMGysU/edit?usp=sharing"",""สบก!AI21"")"),475620)</f>
        <v>475620</v>
      </c>
      <c r="N70" s="168">
        <f ca="1">IFERROR(__xludf.DUMMYFUNCTION("IMPORTRANGE(""https://docs.google.com/spreadsheets/d/1Yj_ptqi66GCucihVvJfMjLAmec39IyEx_6qawtMGysU/edit?usp=sharing"",""สบก!AJ21"")"),361910)</f>
        <v>361910</v>
      </c>
      <c r="O70" s="168">
        <f ca="1">IF(L70&gt;0,N70*100/L70,0)</f>
        <v>66.041970802919707</v>
      </c>
      <c r="P70" s="168">
        <f ca="1">IF(M70&gt;0,N70*100/M70,0)</f>
        <v>76.092258525713802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IFERROR(__xludf.DUMMYFUNCTION("IMPORTRANGE(""https://docs.google.com/spreadsheets/d/1Yj_ptqi66GCucihVvJfMjLAmec39IyEx_6qawtMGysU/edit?usp=sharing"",""สบก!AG21"")"),0)</f>
        <v>0</v>
      </c>
      <c r="M74" s="50"/>
      <c r="N74" s="50">
        <f ca="1">IFERROR(__xludf.DUMMYFUNCTION("IMPORTRANGE(""https://docs.google.com/spreadsheets/d/1Yj_ptqi66GCucihVvJfMjLAmec39IyEx_6qawtMGysU/edit?usp=sharing"",""สบก!AK21"")"),0)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217115</v>
      </c>
      <c r="O94" s="151">
        <f t="shared" ref="O94:O96" ca="1" si="53">IF(L94&gt;0,N94*100/L94,0)</f>
        <v>68.069663907700019</v>
      </c>
      <c r="P94" s="151">
        <f t="shared" ref="P94:P96" ca="1" si="54">IF(M94&gt;0,N94*100/M94,0)</f>
        <v>72.634360938728406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217115</v>
      </c>
      <c r="O96" s="156">
        <f t="shared" ca="1" si="53"/>
        <v>68.069663907700019</v>
      </c>
      <c r="P96" s="156">
        <f t="shared" ca="1" si="54"/>
        <v>72.634360938728406</v>
      </c>
    </row>
    <row r="97" spans="1:16" ht="21.75" customHeight="1" x14ac:dyDescent="0.4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IFERROR(__xludf.DUMMYFUNCTION("IMPORTRANGE(""https://docs.google.com/spreadsheets/d/1Yj_ptqi66GCucihVvJfMjLAmec39IyEx_6qawtMGysU/edit?usp=sharing"",""สบก!AR21"")"),114115)</f>
        <v>114115</v>
      </c>
      <c r="N98" s="168">
        <f ca="1">IFERROR(__xludf.DUMMYFUNCTION("IMPORTRANGE(""https://docs.google.com/spreadsheets/d/1Yj_ptqi66GCucihVvJfMjLAmec39IyEx_6qawtMGysU/edit?usp=sharing"",""สบก!AS21"")"),32315)</f>
        <v>32315</v>
      </c>
      <c r="O98" s="168">
        <f ca="1">IF(L98&gt;0,N98*100/L98,0)</f>
        <v>24.086911150864641</v>
      </c>
      <c r="P98" s="168">
        <f ca="1">IF(M98&gt;0,N98*100/M98,0)</f>
        <v>28.317924900319852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579900</v>
      </c>
      <c r="M140" s="152">
        <f t="shared" ca="1" si="64"/>
        <v>487880</v>
      </c>
      <c r="N140" s="152">
        <f t="shared" ca="1" si="64"/>
        <v>385674.47</v>
      </c>
      <c r="O140" s="151">
        <f t="shared" ref="O140:O142" ca="1" si="65">IF(L140&gt;0,N140*100/L140,0)</f>
        <v>66.507065011208823</v>
      </c>
      <c r="P140" s="151">
        <f t="shared" ref="P140:P142" ca="1" si="66">IF(M140&gt;0,N140*100/M140,0)</f>
        <v>79.051092481757806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579900</v>
      </c>
      <c r="M142" s="88">
        <f t="shared" ca="1" si="68"/>
        <v>487880</v>
      </c>
      <c r="N142" s="88">
        <f t="shared" ca="1" si="68"/>
        <v>385674.47</v>
      </c>
      <c r="O142" s="156">
        <f t="shared" ca="1" si="65"/>
        <v>66.507065011208823</v>
      </c>
      <c r="P142" s="156">
        <f t="shared" ca="1" si="66"/>
        <v>79.051092481757806</v>
      </c>
    </row>
    <row r="143" spans="1:16" ht="21.75" customHeight="1" x14ac:dyDescent="0.4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IFERROR(__xludf.DUMMYFUNCTION("IMPORTRANGE(""https://docs.google.com/spreadsheets/d/1Yj_ptqi66GCucihVvJfMjLAmec39IyEx_6qawtMGysU/edit?usp=sharing"",""สบก!BJ21"")"),487880)</f>
        <v>487880</v>
      </c>
      <c r="N144" s="168">
        <f ca="1">IFERROR(__xludf.DUMMYFUNCTION("IMPORTRANGE(""https://docs.google.com/spreadsheets/d/1Yj_ptqi66GCucihVvJfMjLAmec39IyEx_6qawtMGysU/edit?usp=sharing"",""สบก!BK21"")"),385674.47)</f>
        <v>385674.47</v>
      </c>
      <c r="O144" s="168">
        <f ca="1">IF(L144&gt;0,N144*100/L144,0)</f>
        <v>66.507065011208823</v>
      </c>
      <c r="P144" s="168">
        <f ca="1">IF(M144&gt;0,N144*100/M144,0)</f>
        <v>79.051092481757806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IFERROR(__xludf.DUMMYFUNCTION("IMPORTRANGE(""https://docs.google.com/spreadsheets/d/11923uPwbBZFjjGgGUA6NLw09EwE0CqkOc4q9oUmW1yo/edit?usp=sharing"",""เชียงราย!I114"")"),60000)</f>
        <v>60000</v>
      </c>
      <c r="J189" s="284">
        <f ca="1">IFERROR(__xludf.DUMMYFUNCTION("IMPORTRANGE(""https://docs.google.com/spreadsheets/d/11923uPwbBZFjjGgGUA6NLw09EwE0CqkOc4q9oUmW1yo/edit?usp=sharing"",""เชียงราย!J114"")"),0)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19940</v>
      </c>
      <c r="O220" s="151">
        <f t="shared" ref="O220:O222" ca="1" si="73">IF(L220&gt;0,N220*100/L220,0)</f>
        <v>98.66402770905492</v>
      </c>
      <c r="P220" s="151">
        <f t="shared" ref="P220:P222" ca="1" si="74">IF(M220&gt;0,N220*100/M220,0)</f>
        <v>98.66402770905492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19940</v>
      </c>
      <c r="O222" s="156">
        <f t="shared" ca="1" si="73"/>
        <v>98.66402770905492</v>
      </c>
      <c r="P222" s="156">
        <f t="shared" ca="1" si="74"/>
        <v>98.66402770905492</v>
      </c>
    </row>
    <row r="223" spans="1:16" ht="21.75" customHeight="1" x14ac:dyDescent="0.4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IFERROR(__xludf.DUMMYFUNCTION("IMPORTRANGE(""https://docs.google.com/spreadsheets/d/1Yj_ptqi66GCucihVvJfMjLAmec39IyEx_6qawtMGysU/edit?usp=sharing"",""สบก!BT21"")"),19940)</f>
        <v>19940</v>
      </c>
      <c r="O224" s="168">
        <f ca="1">IF(L224&gt;0,N224*100/L224,0)</f>
        <v>98.66402770905492</v>
      </c>
      <c r="P224" s="168">
        <f ca="1">IF(M224&gt;0,N224*100/M224,0)</f>
        <v>98.66402770905492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32990</v>
      </c>
      <c r="O250" s="151">
        <f t="shared" ref="O250:O252" ca="1" si="78">IF(L250&gt;0,N250*100/L250,0)</f>
        <v>46.20448179271709</v>
      </c>
      <c r="P250" s="151">
        <f t="shared" ref="P250:P252" ca="1" si="79">IF(M250&gt;0,N250*100/M250,0)</f>
        <v>78.547619047619051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32990</v>
      </c>
      <c r="O252" s="156">
        <f t="shared" ca="1" si="78"/>
        <v>46.20448179271709</v>
      </c>
      <c r="P252" s="156">
        <f t="shared" ca="1" si="79"/>
        <v>78.547619047619051</v>
      </c>
    </row>
    <row r="253" spans="1:16" ht="21.75" customHeight="1" x14ac:dyDescent="0.4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IFERROR(__xludf.DUMMYFUNCTION("IMPORTRANGE(""https://docs.google.com/spreadsheets/d/1Yj_ptqi66GCucihVvJfMjLAmec39IyEx_6qawtMGysU/edit?usp=sharing"",""สบก!CB21"")"),42000)</f>
        <v>42000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78.547619047619051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61420</v>
      </c>
      <c r="O271" s="151">
        <f t="shared" ref="O271:O273" ca="1" si="84">IF(L271&gt;0,N271*100/L271,0)</f>
        <v>58.107852412488171</v>
      </c>
      <c r="P271" s="151">
        <f t="shared" ref="P271:P273" ca="1" si="85">IF(M271&gt;0,N271*100/M271,0)</f>
        <v>76.775000000000006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61420</v>
      </c>
      <c r="O273" s="156">
        <f t="shared" ca="1" si="84"/>
        <v>58.107852412488171</v>
      </c>
      <c r="P273" s="156">
        <f t="shared" ca="1" si="85"/>
        <v>76.775000000000006</v>
      </c>
    </row>
    <row r="274" spans="1:16" ht="21.75" customHeight="1" x14ac:dyDescent="0.4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IFERROR(__xludf.DUMMYFUNCTION("IMPORTRANGE(""https://docs.google.com/spreadsheets/d/1Yj_ptqi66GCucihVvJfMjLAmec39IyEx_6qawtMGysU/edit?usp=sharing"",""สบก!CK21"")"),80000)</f>
        <v>80000</v>
      </c>
      <c r="N275" s="168">
        <f ca="1">IFERROR(__xludf.DUMMYFUNCTION("IMPORTRANGE(""https://docs.google.com/spreadsheets/d/1Yj_ptqi66GCucihVvJfMjLAmec39IyEx_6qawtMGysU/edit?usp=sharing"",""สบก!CL21"")"),61420)</f>
        <v>61420</v>
      </c>
      <c r="O275" s="168">
        <f ca="1">IF(L275&gt;0,N275*100/L275,0)</f>
        <v>58.107852412488171</v>
      </c>
      <c r="P275" s="168">
        <f ca="1">IF(M275&gt;0,N275*100/M275,0)</f>
        <v>76.775000000000006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IFERROR(__xludf.DUMMYFUNCTION("IMPORTRANGE(""https://docs.google.com/spreadsheets/d/11923uPwbBZFjjGgGUA6NLw09EwE0CqkOc4q9oUmW1yo/edit?usp=sharing"",""เชียงราย!J228"")"),477)</f>
        <v>477</v>
      </c>
      <c r="K328" s="317">
        <f ca="1">IF(I328&gt;0,J328*100/I328,0)</f>
        <v>70.147058823529406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1236960</v>
      </c>
      <c r="N329" s="152">
        <f t="shared" ca="1" si="98"/>
        <v>1000599.33</v>
      </c>
      <c r="O329" s="151">
        <f t="shared" ref="O329:O331" ca="1" si="99">IF(L329&gt;0,N329*100/L329,0)</f>
        <v>65.021693190457938</v>
      </c>
      <c r="P329" s="151">
        <f t="shared" ref="P329:P331" ca="1" si="100">IF(M329&gt;0,N329*100/M329,0)</f>
        <v>80.891809759410165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1236960</v>
      </c>
      <c r="N331" s="88">
        <f t="shared" ca="1" si="102"/>
        <v>1000599.33</v>
      </c>
      <c r="O331" s="156">
        <f t="shared" ca="1" si="99"/>
        <v>65.021693190457938</v>
      </c>
      <c r="P331" s="156">
        <f t="shared" ca="1" si="100"/>
        <v>80.891809759410165</v>
      </c>
    </row>
    <row r="332" spans="1:16" ht="21.75" customHeight="1" x14ac:dyDescent="0.4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IFERROR(__xludf.DUMMYFUNCTION("IMPORTRANGE(""https://docs.google.com/spreadsheets/d/1Yj_ptqi66GCucihVvJfMjLAmec39IyEx_6qawtMGysU/edit?usp=sharing"",""สบก!DL21"")"),1236960)</f>
        <v>1236960</v>
      </c>
      <c r="N333" s="168">
        <f ca="1">IFERROR(__xludf.DUMMYFUNCTION("IMPORTRANGE(""https://docs.google.com/spreadsheets/d/1Yj_ptqi66GCucihVvJfMjLAmec39IyEx_6qawtMGysU/edit?usp=sharing"",""สบก!DM21"")"),1000599.33)</f>
        <v>1000599.33</v>
      </c>
      <c r="O333" s="168">
        <f ca="1">IF(L333&gt;0,N333*100/L333,0)</f>
        <v>65.021693190457938</v>
      </c>
      <c r="P333" s="168">
        <f ca="1">IF(M333&gt;0,N333*100/M333,0)</f>
        <v>80.891809759410165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IFERROR(__xludf.DUMMYFUNCTION("IMPORTRANGE(""https://docs.google.com/spreadsheets/d/11923uPwbBZFjjGgGUA6NLw09EwE0CqkOc4q9oUmW1yo/edit?usp=sharing"",""เชียงราย!J234"")"),385)</f>
        <v>385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IFERROR(__xludf.DUMMYFUNCTION("IMPORTRANGE(""https://docs.google.com/spreadsheets/d/11923uPwbBZFjjGgGUA6NLw09EwE0CqkOc4q9oUmW1yo/edit?usp=sharing"",""เชียงราย!J235"")"),2176.52)</f>
        <v>2176.52</v>
      </c>
      <c r="K340" s="342">
        <f t="shared" ca="1" si="103"/>
        <v>64.015294117647059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IFERROR(__xludf.DUMMYFUNCTION("IMPORTRANGE(""https://docs.google.com/spreadsheets/d/11923uPwbBZFjjGgGUA6NLw09EwE0CqkOc4q9oUmW1yo/edit?usp=sharing"",""เชียงราย!J236"")"),513)</f>
        <v>513</v>
      </c>
      <c r="K341" s="342">
        <f t="shared" ca="1" si="103"/>
        <v>75.441176470588232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IFERROR(__xludf.DUMMYFUNCTION("IMPORTRANGE(""https://docs.google.com/spreadsheets/d/11923uPwbBZFjjGgGUA6NLw09EwE0CqkOc4q9oUmW1yo/edit?usp=sharing"",""เชียงราย!J237"")"),3434.23)</f>
        <v>3434.23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IFERROR(__xludf.DUMMYFUNCTION("IMPORTRANGE(""https://docs.google.com/spreadsheets/d/11923uPwbBZFjjGgGUA6NLw09EwE0CqkOc4q9oUmW1yo/edit?usp=sharing"",""เชียงราย!J238"")"),2)</f>
        <v>2</v>
      </c>
      <c r="K343" s="342">
        <f t="shared" ca="1" si="103"/>
        <v>0.29411764705882354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IFERROR(__xludf.DUMMYFUNCTION("IMPORTRANGE(""https://docs.google.com/spreadsheets/d/11923uPwbBZFjjGgGUA6NLw09EwE0CqkOc4q9oUmW1yo/edit?usp=sharing"",""เชียงราย!J239"")"),9.23)</f>
        <v>9.23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IFERROR(__xludf.DUMMYFUNCTION("IMPORTRANGE(""https://docs.google.com/spreadsheets/d/11923uPwbBZFjjGgGUA6NLw09EwE0CqkOc4q9oUmW1yo/edit?usp=sharing"",""เชียงราย!J240"")"),477)</f>
        <v>477</v>
      </c>
      <c r="K345" s="342">
        <f t="shared" ca="1" si="103"/>
        <v>70.147058823529406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IFERROR(__xludf.DUMMYFUNCTION("IMPORTRANGE(""https://docs.google.com/spreadsheets/d/11923uPwbBZFjjGgGUA6NLw09EwE0CqkOc4q9oUmW1yo/edit?usp=sharing"",""เชียงราย!J241"")"),3168.96)</f>
        <v>3168.96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IFERROR(__xludf.DUMMYFUNCTION("IMPORTRANGE(""https://docs.google.com/spreadsheets/d/11923uPwbBZFjjGgGUA6NLw09EwE0CqkOc4q9oUmW1yo/edit?usp=sharing"",""เชียงราย!L242"")"),2470819)</f>
        <v>2470819</v>
      </c>
      <c r="M347" s="357"/>
      <c r="N347" s="357">
        <f ca="1">IFERROR(__xludf.DUMMYFUNCTION("IMPORTRANGE(""https://docs.google.com/spreadsheets/d/11923uPwbBZFjjGgGUA6NLw09EwE0CqkOc4q9oUmW1yo/edit?usp=sharing"",""เชียงราย!M242"")"),1093725.95)</f>
        <v>1093725.95</v>
      </c>
      <c r="O347" s="357">
        <f ca="1">+IF(L347&gt;0,N347*100/L347,0)</f>
        <v>44.265725251424733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IFERROR(__xludf.DUMMYFUNCTION("IMPORTRANGE(""https://docs.google.com/spreadsheets/d/11923uPwbBZFjjGgGUA6NLw09EwE0CqkOc4q9oUmW1yo/edit?usp=sharing"",""เชียงราย!M244"")"),243009)</f>
        <v>243009</v>
      </c>
      <c r="O349" s="372">
        <f ca="1">+IF(L349&gt;0,N349*100/L349,0)</f>
        <v>45.661217587373166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IFERROR(__xludf.DUMMYFUNCTION("IMPORTRANGE(""https://docs.google.com/spreadsheets/d/11923uPwbBZFjjGgGUA6NLw09EwE0CqkOc4q9oUmW1yo/edit?usp=sharing"",""เชียงราย!M247"")"),243009)</f>
        <v>243009</v>
      </c>
      <c r="O352" s="165">
        <f t="shared" ca="1" si="105"/>
        <v>45.661217587373166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IFERROR(__xludf.DUMMYFUNCTION("IMPORTRANGE(""https://docs.google.com/spreadsheets/d/11923uPwbBZFjjGgGUA6NLw09EwE0CqkOc4q9oUmW1yo/edit?usp=sharing"",""เชียงราย!M249"")"),243009)</f>
        <v>243009</v>
      </c>
      <c r="O354" s="168">
        <f t="shared" ca="1" si="105"/>
        <v>45.661217587373166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IFERROR(__xludf.DUMMYFUNCTION("IMPORTRANGE(""https://docs.google.com/spreadsheets/d/11923uPwbBZFjjGgGUA6NLw09EwE0CqkOc4q9oUmW1yo/edit?usp=sharing"",""เชียงราย!M252"")"),59850)</f>
        <v>59850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IFERROR(__xludf.DUMMYFUNCTION("IMPORTRANGE(""https://docs.google.com/spreadsheets/d/11923uPwbBZFjjGgGUA6NLw09EwE0CqkOc4q9oUmW1yo/edit?usp=sharing"",""เชียงราย!M253"")"),183159)</f>
        <v>183159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IFERROR(__xludf.DUMMYFUNCTION("IMPORTRANGE(""https://docs.google.com/spreadsheets/d/11923uPwbBZFjjGgGUA6NLw09EwE0CqkOc4q9oUmW1yo/edit?usp=sharing"",""เชียงราย!M275"")"),134880)</f>
        <v>134880</v>
      </c>
      <c r="O380" s="372">
        <f ca="1">+IF(L380&gt;0,N380*100/L380,0)</f>
        <v>29.312817838049288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IFERROR(__xludf.DUMMYFUNCTION("IMPORTRANGE(""https://docs.google.com/spreadsheets/d/11923uPwbBZFjjGgGUA6NLw09EwE0CqkOc4q9oUmW1yo/edit?usp=sharing"",""เชียงราย!M278"")"),134880)</f>
        <v>134880</v>
      </c>
      <c r="O383" s="165">
        <f t="shared" ca="1" si="109"/>
        <v>29.312817838049288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IFERROR(__xludf.DUMMYFUNCTION("IMPORTRANGE(""https://docs.google.com/spreadsheets/d/11923uPwbBZFjjGgGUA6NLw09EwE0CqkOc4q9oUmW1yo/edit?usp=sharing"",""เชียงราย!M280"")"),134880)</f>
        <v>134880</v>
      </c>
      <c r="O385" s="168">
        <f t="shared" ca="1" si="109"/>
        <v>29.312817838049288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IFERROR(__xludf.DUMMYFUNCTION("IMPORTRANGE(""https://docs.google.com/spreadsheets/d/11923uPwbBZFjjGgGUA6NLw09EwE0CqkOc4q9oUmW1yo/edit?usp=sharing"",""เชียงราย!M284"")"),23880)</f>
        <v>23880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IFERROR(__xludf.DUMMYFUNCTION("IMPORTRANGE(""https://docs.google.com/spreadsheets/d/11923uPwbBZFjjGgGUA6NLw09EwE0CqkOc4q9oUmW1yo/edit?usp=sharing"",""เชียงราย!M296"")"),172446.95)</f>
        <v>172446.95</v>
      </c>
      <c r="O401" s="372">
        <f ca="1">+IF(L401&gt;0,N401*100/L401,0)</f>
        <v>88.028050025523228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IFERROR(__xludf.DUMMYFUNCTION("IMPORTRANGE(""https://docs.google.com/spreadsheets/d/11923uPwbBZFjjGgGUA6NLw09EwE0CqkOc4q9oUmW1yo/edit?usp=sharing"",""เชียงราย!M299"")"),172446.95)</f>
        <v>172446.95</v>
      </c>
      <c r="O404" s="168">
        <f t="shared" ca="1" si="112"/>
        <v>88.028050025523228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IFERROR(__xludf.DUMMYFUNCTION("IMPORTRANGE(""https://docs.google.com/spreadsheets/d/11923uPwbBZFjjGgGUA6NLw09EwE0CqkOc4q9oUmW1yo/edit?usp=sharing"",""เชียงราย!M301"")"),172446.95)</f>
        <v>172446.95</v>
      </c>
      <c r="O406" s="168">
        <f t="shared" ca="1" si="112"/>
        <v>88.028050025523228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IFERROR(__xludf.DUMMYFUNCTION("IMPORTRANGE(""https://docs.google.com/spreadsheets/d/11923uPwbBZFjjGgGUA6NLw09EwE0CqkOc4q9oUmW1yo/edit?usp=sharing"",""เชียงราย!M302"")"),119122)</f>
        <v>119122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IFERROR(__xludf.DUMMYFUNCTION("IMPORTRANGE(""https://docs.google.com/spreadsheets/d/11923uPwbBZFjjGgGUA6NLw09EwE0CqkOc4q9oUmW1yo/edit?usp=sharing"",""เชียงราย!M303"")"),34634.95)</f>
        <v>34634.949999999997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IFERROR(__xludf.DUMMYFUNCTION("IMPORTRANGE(""https://docs.google.com/spreadsheets/d/11923uPwbBZFjjGgGUA6NLw09EwE0CqkOc4q9oUmW1yo/edit?usp=sharing"",""เชียงราย!M305"")"),18690)</f>
        <v>18690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IFERROR(__xludf.DUMMYFUNCTION("IMPORTRANGE(""https://docs.google.com/spreadsheets/d/11923uPwbBZFjjGgGUA6NLw09EwE0CqkOc4q9oUmW1yo/edit?usp=sharing"",""เชียงราย!M330"")"),117090)</f>
        <v>117090</v>
      </c>
      <c r="O435" s="411">
        <f t="shared" ref="O435:O439" ca="1" si="114">+IF(L435&gt;0,N435*100/L435,0)</f>
        <v>73.272841051314145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IFERROR(__xludf.DUMMYFUNCTION("IMPORTRANGE(""https://docs.google.com/spreadsheets/d/11923uPwbBZFjjGgGUA6NLw09EwE0CqkOc4q9oUmW1yo/edit?usp=sharing"",""เชียงราย!M332"")"),117090)</f>
        <v>117090</v>
      </c>
      <c r="O437" s="168">
        <f t="shared" ca="1" si="114"/>
        <v>73.272841051314145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IFERROR(__xludf.DUMMYFUNCTION("IMPORTRANGE(""https://docs.google.com/spreadsheets/d/11923uPwbBZFjjGgGUA6NLw09EwE0CqkOc4q9oUmW1yo/edit?usp=sharing"",""เชียงราย!M334"")"),117090)</f>
        <v>117090</v>
      </c>
      <c r="O439" s="168">
        <f t="shared" ca="1" si="114"/>
        <v>73.272841051314145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IFERROR(__xludf.DUMMYFUNCTION("IMPORTRANGE(""https://docs.google.com/spreadsheets/d/11923uPwbBZFjjGgGUA6NLw09EwE0CqkOc4q9oUmW1yo/edit?usp=sharing"",""เชียงราย!M335"")"),109000)</f>
        <v>109000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IFERROR(__xludf.DUMMYFUNCTION("IMPORTRANGE(""https://docs.google.com/spreadsheets/d/11923uPwbBZFjjGgGUA6NLw09EwE0CqkOc4q9oUmW1yo/edit?usp=sharing"",""เชียงราย!M338"")"),8090)</f>
        <v>8090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IFERROR(__xludf.DUMMYFUNCTION("IMPORTRANGE(""https://docs.google.com/spreadsheets/d/11923uPwbBZFjjGgGUA6NLw09EwE0CqkOc4q9oUmW1yo/edit?usp=sharing"",""เชียงราย!J350"")"),42904)</f>
        <v>42904</v>
      </c>
      <c r="K455" s="371">
        <f ca="1">IF(I455&gt;0,J455*100/I455,0)</f>
        <v>86.722050411335474</v>
      </c>
      <c r="L455" s="372">
        <f ca="1">IFERROR(__xludf.DUMMYFUNCTION("IMPORTRANGE(""https://docs.google.com/spreadsheets/d/11923uPwbBZFjjGgGUA6NLw09EwE0CqkOc4q9oUmW1yo/edit?usp=sharing"",""เชียงราย!L350"")"),541453)</f>
        <v>541453</v>
      </c>
      <c r="M455" s="372"/>
      <c r="N455" s="372">
        <f ca="1">IFERROR(__xludf.DUMMYFUNCTION("IMPORTRANGE(""https://docs.google.com/spreadsheets/d/11923uPwbBZFjjGgGUA6NLw09EwE0CqkOc4q9oUmW1yo/edit?usp=sharing"",""เชียงราย!M350"")"),209260)</f>
        <v>209260</v>
      </c>
      <c r="O455" s="372">
        <f t="shared" ref="O455:O459" ca="1" si="116">+IF(L455&gt;0,N455*100/L455,0)</f>
        <v>38.647860479118222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IFERROR(__xludf.DUMMYFUNCTION("IMPORTRANGE(""https://docs.google.com/spreadsheets/d/11923uPwbBZFjjGgGUA6NLw09EwE0CqkOc4q9oUmW1yo/edit?usp=sharing"",""เชียงราย!L352"")"),541453)</f>
        <v>541453</v>
      </c>
      <c r="M457" s="165"/>
      <c r="N457" s="168">
        <f ca="1">IFERROR(__xludf.DUMMYFUNCTION("IMPORTRANGE(""https://docs.google.com/spreadsheets/d/11923uPwbBZFjjGgGUA6NLw09EwE0CqkOc4q9oUmW1yo/edit?usp=sharing"",""เชียงราย!M352"")"),209260)</f>
        <v>209260</v>
      </c>
      <c r="O457" s="168">
        <f t="shared" ca="1" si="116"/>
        <v>38.647860479118222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IFERROR(__xludf.DUMMYFUNCTION("IMPORTRANGE(""https://docs.google.com/spreadsheets/d/11923uPwbBZFjjGgGUA6NLw09EwE0CqkOc4q9oUmW1yo/edit?usp=sharing"",""เชียงราย!L354"")"),541453)</f>
        <v>541453</v>
      </c>
      <c r="M459" s="168"/>
      <c r="N459" s="168">
        <f ca="1">IFERROR(__xludf.DUMMYFUNCTION("IMPORTRANGE(""https://docs.google.com/spreadsheets/d/11923uPwbBZFjjGgGUA6NLw09EwE0CqkOc4q9oUmW1yo/edit?usp=sharing"",""เชียงราย!M354"")"),209260)</f>
        <v>209260</v>
      </c>
      <c r="O459" s="168">
        <f t="shared" ca="1" si="116"/>
        <v>38.647860479118222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IFERROR(__xludf.DUMMYFUNCTION("IMPORTRANGE(""https://docs.google.com/spreadsheets/d/11923uPwbBZFjjGgGUA6NLw09EwE0CqkOc4q9oUmW1yo/edit?usp=sharing"",""เชียงราย!M357"")"),52500)</f>
        <v>52500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IFERROR(__xludf.DUMMYFUNCTION("IMPORTRANGE(""https://docs.google.com/spreadsheets/d/11923uPwbBZFjjGgGUA6NLw09EwE0CqkOc4q9oUmW1yo/edit?usp=sharing"",""เชียงราย!J359"")"),42904)</f>
        <v>42904</v>
      </c>
      <c r="K464" s="268">
        <f t="shared" ref="K464:K515" ca="1" si="117">IF(I464&gt;0,J464*100/I464,0)</f>
        <v>86.722050411335474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IFERROR(__xludf.DUMMYFUNCTION("IMPORTRANGE(""https://docs.google.com/spreadsheets/d/11923uPwbBZFjjGgGUA6NLw09EwE0CqkOc4q9oUmW1yo/edit?usp=sharing"",""เชียงราย!J376"")"),42904)</f>
        <v>42904</v>
      </c>
      <c r="K481" s="201">
        <f t="shared" ca="1" si="117"/>
        <v>86.722050411335474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IFERROR(__xludf.DUMMYFUNCTION("IMPORTRANGE(""https://docs.google.com/spreadsheets/d/11923uPwbBZFjjGgGUA6NLw09EwE0CqkOc4q9oUmW1yo/edit?usp=sharing"",""เชียงราย!J377"")"),8733)</f>
        <v>8733</v>
      </c>
      <c r="K482" s="201">
        <f t="shared" ca="1" si="117"/>
        <v>88.722950320024381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IFERROR(__xludf.DUMMYFUNCTION("IMPORTRANGE(""https://docs.google.com/spreadsheets/d/11923uPwbBZFjjGgGUA6NLw09EwE0CqkOc4q9oUmW1yo/edit?usp=sharing"",""เชียงราย!J378"")"),42904)</f>
        <v>42904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IFERROR(__xludf.DUMMYFUNCTION("IMPORTRANGE(""https://docs.google.com/spreadsheets/d/11923uPwbBZFjjGgGUA6NLw09EwE0CqkOc4q9oUmW1yo/edit?usp=sharing"",""เชียงราย!J379"")"),8733)</f>
        <v>8733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IFERROR(__xludf.DUMMYFUNCTION("IMPORTRANGE(""https://docs.google.com/spreadsheets/d/11923uPwbBZFjjGgGUA6NLw09EwE0CqkOc4q9oUmW1yo/edit?usp=sharing"",""เชียงราย!J392"")"),694)</f>
        <v>694</v>
      </c>
      <c r="K497" s="444">
        <f t="shared" ca="1" si="117"/>
        <v>98.161244695898162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IFERROR(__xludf.DUMMYFUNCTION("IMPORTRANGE(""https://docs.google.com/spreadsheets/d/11923uPwbBZFjjGgGUA6NLw09EwE0CqkOc4q9oUmW1yo/edit?usp=sharing"",""เชียงราย!J393"")"),694)</f>
        <v>694</v>
      </c>
      <c r="K498" s="201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IFERROR(__xludf.DUMMYFUNCTION("IMPORTRANGE(""https://docs.google.com/spreadsheets/d/11923uPwbBZFjjGgGUA6NLw09EwE0CqkOc4q9oUmW1yo/edit?usp=sharing"",""เชียงราย!J459"")"),6917)</f>
        <v>6917</v>
      </c>
      <c r="K564" s="371">
        <f ca="1">IF(I564&gt;0,J564*100/I564,0)</f>
        <v>203.44117647058823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IFERROR(__xludf.DUMMYFUNCTION("IMPORTRANGE(""https://docs.google.com/spreadsheets/d/11923uPwbBZFjjGgGUA6NLw09EwE0CqkOc4q9oUmW1yo/edit?usp=sharing"",""เชียงราย!M459"")"),102900)</f>
        <v>102900</v>
      </c>
      <c r="O564" s="372">
        <f t="shared" ref="O564:O568" ca="1" si="122">+IF(L564&gt;0,N564*100/L564,0)</f>
        <v>62.137681159420289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IFERROR(__xludf.DUMMYFUNCTION("IMPORTRANGE(""https://docs.google.com/spreadsheets/d/11923uPwbBZFjjGgGUA6NLw09EwE0CqkOc4q9oUmW1yo/edit?usp=sharing"",""เชียงราย!M461"")"),102900)</f>
        <v>102900</v>
      </c>
      <c r="O566" s="168">
        <f t="shared" ca="1" si="122"/>
        <v>62.137681159420289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IFERROR(__xludf.DUMMYFUNCTION("IMPORTRANGE(""https://docs.google.com/spreadsheets/d/11923uPwbBZFjjGgGUA6NLw09EwE0CqkOc4q9oUmW1yo/edit?usp=sharing"",""เชียงราย!M463"")"),102900)</f>
        <v>102900</v>
      </c>
      <c r="O568" s="168">
        <f t="shared" ca="1" si="122"/>
        <v>62.137681159420289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IFERROR(__xludf.DUMMYFUNCTION("IMPORTRANGE(""https://docs.google.com/spreadsheets/d/11923uPwbBZFjjGgGUA6NLw09EwE0CqkOc4q9oUmW1yo/edit?usp=sharing"",""เชียงราย!M466"")"),62300)</f>
        <v>62300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IFERROR(__xludf.DUMMYFUNCTION("IMPORTRANGE(""https://docs.google.com/spreadsheets/d/11923uPwbBZFjjGgGUA6NLw09EwE0CqkOc4q9oUmW1yo/edit?usp=sharing"",""เชียงราย!M467"")"),40600)</f>
        <v>40600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IFERROR(__xludf.DUMMYFUNCTION("IMPORTRANGE(""https://docs.google.com/spreadsheets/d/11923uPwbBZFjjGgGUA6NLw09EwE0CqkOc4q9oUmW1yo/edit?usp=sharing"",""เชียงราย!J468"")"),6917)</f>
        <v>6917</v>
      </c>
      <c r="K573" s="201">
        <f ca="1">IF(I573&gt;0,J573*100/I573,0)</f>
        <v>203.44117647058823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IFERROR(__xludf.DUMMYFUNCTION("IMPORTRANGE(""https://docs.google.com/spreadsheets/d/11923uPwbBZFjjGgGUA6NLw09EwE0CqkOc4q9oUmW1yo/edit?usp=sharing"",""เชียงราย!J471"")"),271)</f>
        <v>271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IFERROR(__xludf.DUMMYFUNCTION("IMPORTRANGE(""https://docs.google.com/spreadsheets/d/11923uPwbBZFjjGgGUA6NLw09EwE0CqkOc4q9oUmW1yo/edit?usp=sharing"",""เชียงราย!J472"")"),6640)</f>
        <v>6640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IFERROR(__xludf.DUMMYFUNCTION("IMPORTRANGE(""https://docs.google.com/spreadsheets/d/11923uPwbBZFjjGgGUA6NLw09EwE0CqkOc4q9oUmW1yo/edit?usp=sharing"",""เชียงราย!I475"")"),176)</f>
        <v>176</v>
      </c>
      <c r="J580" s="370">
        <f ca="1">IFERROR(__xludf.DUMMYFUNCTION("IMPORTRANGE(""https://docs.google.com/spreadsheets/d/11923uPwbBZFjjGgGUA6NLw09EwE0CqkOc4q9oUmW1yo/edit?usp=sharing"",""เชียงราย!J475"")"),4)</f>
        <v>4</v>
      </c>
      <c r="K580" s="371">
        <f ca="1">IF(I580&gt;0,J580*100/I580,0)</f>
        <v>2.2727272727272729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IFERROR(__xludf.DUMMYFUNCTION("IMPORTRANGE(""https://docs.google.com/spreadsheets/d/11923uPwbBZFjjGgGUA6NLw09EwE0CqkOc4q9oUmW1yo/edit?usp=sharing"",""เชียงราย!M475"")"),81447)</f>
        <v>81447</v>
      </c>
      <c r="O580" s="372">
        <f t="shared" ref="O580:O584" ca="1" si="124">+IF(L580&gt;0,N580*100/L580,0)</f>
        <v>22.682384787621562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IFERROR(__xludf.DUMMYFUNCTION("IMPORTRANGE(""https://docs.google.com/spreadsheets/d/11923uPwbBZFjjGgGUA6NLw09EwE0CqkOc4q9oUmW1yo/edit?usp=sharing"",""เชียงราย!M477"")"),81447)</f>
        <v>81447</v>
      </c>
      <c r="O582" s="168">
        <f t="shared" ca="1" si="124"/>
        <v>22.682384787621562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IFERROR(__xludf.DUMMYFUNCTION("IMPORTRANGE(""https://docs.google.com/spreadsheets/d/11923uPwbBZFjjGgGUA6NLw09EwE0CqkOc4q9oUmW1yo/edit?usp=sharing"",""เชียงราย!M479"")"),81447)</f>
        <v>81447</v>
      </c>
      <c r="O584" s="168">
        <f t="shared" ca="1" si="124"/>
        <v>22.682384787621562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IFERROR(__xludf.DUMMYFUNCTION("IMPORTRANGE(""https://docs.google.com/spreadsheets/d/11923uPwbBZFjjGgGUA6NLw09EwE0CqkOc4q9oUmW1yo/edit?usp=sharing"",""เชียงราย!M482"")"),57000)</f>
        <v>57000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IFERROR(__xludf.DUMMYFUNCTION("IMPORTRANGE(""https://docs.google.com/spreadsheets/d/11923uPwbBZFjjGgGUA6NLw09EwE0CqkOc4q9oUmW1yo/edit?usp=sharing"",""เชียงราย!M483"")"),24447)</f>
        <v>24447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IFERROR(__xludf.DUMMYFUNCTION("IMPORTRANGE(""https://docs.google.com/spreadsheets/d/11923uPwbBZFjjGgGUA6NLw09EwE0CqkOc4q9oUmW1yo/edit?usp=sharing"",""เชียงราย!I484"")"),176)</f>
        <v>176</v>
      </c>
      <c r="J589" s="187">
        <f ca="1">IFERROR(__xludf.DUMMYFUNCTION("IMPORTRANGE(""https://docs.google.com/spreadsheets/d/11923uPwbBZFjjGgGUA6NLw09EwE0CqkOc4q9oUmW1yo/edit?usp=sharing"",""เชียงราย!J484"")"),106)</f>
        <v>106</v>
      </c>
      <c r="K589" s="163">
        <f t="shared" ref="K589:K596" ca="1" si="125">IF(I589&gt;0,J589*100/I589,0)</f>
        <v>60.227272727272727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IFERROR(__xludf.DUMMYFUNCTION("IMPORTRANGE(""https://docs.google.com/spreadsheets/d/11923uPwbBZFjjGgGUA6NLw09EwE0CqkOc4q9oUmW1yo/edit?usp=sharing"",""เชียงราย!J485"")"),61.91)</f>
        <v>61.91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IFERROR(__xludf.DUMMYFUNCTION("IMPORTRANGE(""https://docs.google.com/spreadsheets/d/11923uPwbBZFjjGgGUA6NLw09EwE0CqkOc4q9oUmW1yo/edit?usp=sharing"",""เชียงราย!I486"")"),176)</f>
        <v>176</v>
      </c>
      <c r="J591" s="187">
        <f ca="1">IFERROR(__xludf.DUMMYFUNCTION("IMPORTRANGE(""https://docs.google.com/spreadsheets/d/11923uPwbBZFjjGgGUA6NLw09EwE0CqkOc4q9oUmW1yo/edit?usp=sharing"",""เชียงราย!J486"")"),38)</f>
        <v>38</v>
      </c>
      <c r="K591" s="163">
        <f t="shared" ca="1" si="125"/>
        <v>21.59090909090909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IFERROR(__xludf.DUMMYFUNCTION("IMPORTRANGE(""https://docs.google.com/spreadsheets/d/11923uPwbBZFjjGgGUA6NLw09EwE0CqkOc4q9oUmW1yo/edit?usp=sharing"",""เชียงราย!J487"")"),20.84)</f>
        <v>20.84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IFERROR(__xludf.DUMMYFUNCTION("IMPORTRANGE(""https://docs.google.com/spreadsheets/d/11923uPwbBZFjjGgGUA6NLw09EwE0CqkOc4q9oUmW1yo/edit?usp=sharing"",""เชียงราย!I488"")"),176)</f>
        <v>176</v>
      </c>
      <c r="J593" s="187">
        <f ca="1">IFERROR(__xludf.DUMMYFUNCTION("IMPORTRANGE(""https://docs.google.com/spreadsheets/d/11923uPwbBZFjjGgGUA6NLw09EwE0CqkOc4q9oUmW1yo/edit?usp=sharing"",""เชียงราย!J488"")"),2)</f>
        <v>2</v>
      </c>
      <c r="K593" s="163">
        <f t="shared" ca="1" si="125"/>
        <v>1.1363636363636365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IFERROR(__xludf.DUMMYFUNCTION("IMPORTRANGE(""https://docs.google.com/spreadsheets/d/11923uPwbBZFjjGgGUA6NLw09EwE0CqkOc4q9oUmW1yo/edit?usp=sharing"",""เชียงราย!J489"")"),1.28)</f>
        <v>1.28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IFERROR(__xludf.DUMMYFUNCTION("IMPORTRANGE(""https://docs.google.com/spreadsheets/d/11923uPwbBZFjjGgGUA6NLw09EwE0CqkOc4q9oUmW1yo/edit?usp=sharing"",""เชียงราย!I490"")"),176)</f>
        <v>176</v>
      </c>
      <c r="J595" s="187">
        <f ca="1">IFERROR(__xludf.DUMMYFUNCTION("IMPORTRANGE(""https://docs.google.com/spreadsheets/d/11923uPwbBZFjjGgGUA6NLw09EwE0CqkOc4q9oUmW1yo/edit?usp=sharing"",""เชียงราย!J490"")"),4)</f>
        <v>4</v>
      </c>
      <c r="K595" s="163">
        <f t="shared" ca="1" si="125"/>
        <v>2.2727272727272729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IFERROR(__xludf.DUMMYFUNCTION("IMPORTRANGE(""https://docs.google.com/spreadsheets/d/11923uPwbBZFjjGgGUA6NLw09EwE0CqkOc4q9oUmW1yo/edit?usp=sharing"",""เชียงราย!J491"")"),2.04)</f>
        <v>2.04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7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11.612903225806452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11.612903225806452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11.612903225806452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IFERROR(__xludf.DUMMYFUNCTION("IMPORTRANGE(""https://docs.google.com/spreadsheets/d/11923uPwbBZFjjGgGUA6NLw09EwE0CqkOc4q9oUmW1yo/edit?usp=sharing"",""เชียงราย!J523"")"),2044238.08)</f>
        <v>2044238.08</v>
      </c>
      <c r="K628" s="342">
        <f t="shared" ref="K628:K635" ca="1" si="129">IF(I628&gt;0,J628*100/I628,0)</f>
        <v>26.293803925603889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IFERROR(__xludf.DUMMYFUNCTION("IMPORTRANGE(""https://docs.google.com/spreadsheets/d/11923uPwbBZFjjGgGUA6NLw09EwE0CqkOc4q9oUmW1yo/edit?usp=sharing"",""เชียงราย!J524"")"),80)</f>
        <v>80</v>
      </c>
      <c r="K629" s="342">
        <f t="shared" ca="1" si="129"/>
        <v>24.615384615384617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IFERROR(__xludf.DUMMYFUNCTION("IMPORTRANGE(""https://docs.google.com/spreadsheets/d/11923uPwbBZFjjGgGUA6NLw09EwE0CqkOc4q9oUmW1yo/edit?usp=sharing"",""เชียงราย!J525"")"),732358.91)</f>
        <v>732358.91</v>
      </c>
      <c r="K630" s="342">
        <f t="shared" ca="1" si="129"/>
        <v>11.448474960146591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IFERROR(__xludf.DUMMYFUNCTION("IMPORTRANGE(""https://docs.google.com/spreadsheets/d/11923uPwbBZFjjGgGUA6NLw09EwE0CqkOc4q9oUmW1yo/edit?usp=sharing"",""เชียงราย!J526"")"),78)</f>
        <v>78</v>
      </c>
      <c r="K631" s="342">
        <f t="shared" ca="1" si="129"/>
        <v>48.148148148148145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IFERROR(__xludf.DUMMYFUNCTION("IMPORTRANGE(""https://docs.google.com/spreadsheets/d/11923uPwbBZFjjGgGUA6NLw09EwE0CqkOc4q9oUmW1yo/edit?usp=sharing"",""เชียงราย!I529"")"),4000000)</f>
        <v>4000000</v>
      </c>
      <c r="J634" s="341">
        <f ca="1">IFERROR(__xludf.DUMMYFUNCTION("IMPORTRANGE(""https://docs.google.com/spreadsheets/d/11923uPwbBZFjjGgGUA6NLw09EwE0CqkOc4q9oUmW1yo/edit?usp=sharing"",""เชียงราย!J529"")"),1380000)</f>
        <v>1380000</v>
      </c>
      <c r="K634" s="342">
        <f t="shared" ca="1" si="129"/>
        <v>34.5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IFERROR(__xludf.DUMMYFUNCTION("IMPORTRANGE(""https://docs.google.com/spreadsheets/d/11923uPwbBZFjjGgGUA6NLw09EwE0CqkOc4q9oUmW1yo/edit?usp=sharing"",""เชียงราย!I530"")"),162)</f>
        <v>162</v>
      </c>
      <c r="J635" s="504">
        <f ca="1">IFERROR(__xludf.DUMMYFUNCTION("IMPORTRANGE(""https://docs.google.com/spreadsheets/d/11923uPwbBZFjjGgGUA6NLw09EwE0CqkOc4q9oUmW1yo/edit?usp=sharing"",""เชียงราย!J530"")"),46)</f>
        <v>46</v>
      </c>
      <c r="K635" s="486">
        <f t="shared" ca="1" si="129"/>
        <v>28.395061728395063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IFERROR(__xludf.DUMMYFUNCTION("IMPORTRANGE(""https://docs.google.com/spreadsheets/d/11923uPwbBZFjjGgGUA6NLw09EwE0CqkOc4q9oUmW1yo/edit?usp=sharing"",""เชียงราย!J541"")"),0)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IFERROR(__xludf.DUMMYFUNCTION("IMPORTRANGE(""https://docs.google.com/spreadsheets/d/11923uPwbBZFjjGgGUA6NLw09EwE0CqkOc4q9oUmW1yo/edit?usp=sharing"",""เชียงราย!J542"")"),0)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IFERROR(__xludf.DUMMYFUNCTION("IMPORTRANGE(""https://docs.google.com/spreadsheets/d/11923uPwbBZFjjGgGUA6NLw09EwE0CqkOc4q9oUmW1yo/edit?usp=sharing"",""เชียงราย!I543"")"),0)</f>
        <v>0</v>
      </c>
      <c r="J648" s="535">
        <f ca="1">IFERROR(__xludf.DUMMYFUNCTION("IMPORTRANGE(""https://docs.google.com/spreadsheets/d/11923uPwbBZFjjGgGUA6NLw09EwE0CqkOc4q9oUmW1yo/edit?usp=sharing"",""เชียงราย!J543"")"),0)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IFERROR(__xludf.DUMMYFUNCTION("IMPORTRANGE(""https://docs.google.com/spreadsheets/d/11923uPwbBZFjjGgGUA6NLw09EwE0CqkOc4q9oUmW1yo/edit?usp=sharing"",""เชียงราย!L543"")"),0)</f>
        <v>0</v>
      </c>
      <c r="M648" s="520"/>
      <c r="N648" s="537">
        <f ca="1">IFERROR(__xludf.DUMMYFUNCTION("IMPORTRANGE(""https://docs.google.com/spreadsheets/d/11923uPwbBZFjjGgGUA6NLw09EwE0CqkOc4q9oUmW1yo/edit?usp=sharing"",""เชียงราย!M543"")"),0)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IFERROR(__xludf.DUMMYFUNCTION("IMPORTRANGE(""https://docs.google.com/spreadsheets/d/11923uPwbBZFjjGgGUA6NLw09EwE0CqkOc4q9oUmW1yo/edit?usp=sharing"",""เชียงราย!I544"")"),0)</f>
        <v>0</v>
      </c>
      <c r="J649" s="535">
        <f ca="1">IFERROR(__xludf.DUMMYFUNCTION("IMPORTRANGE(""https://docs.google.com/spreadsheets/d/11923uPwbBZFjjGgGUA6NLw09EwE0CqkOc4q9oUmW1yo/edit?usp=sharing"",""เชียงราย!J544"")"),0)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IFERROR(__xludf.DUMMYFUNCTION("IMPORTRANGE(""https://docs.google.com/spreadsheets/d/11923uPwbBZFjjGgGUA6NLw09EwE0CqkOc4q9oUmW1yo/edit?usp=sharing"",""เชียงราย!L544"")"),0)</f>
        <v>0</v>
      </c>
      <c r="M649" s="520"/>
      <c r="N649" s="537">
        <f ca="1">IFERROR(__xludf.DUMMYFUNCTION("IMPORTRANGE(""https://docs.google.com/spreadsheets/d/11923uPwbBZFjjGgGUA6NLw09EwE0CqkOc4q9oUmW1yo/edit?usp=sharing"",""เชียงราย!M544"")"),0)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IFERROR(__xludf.DUMMYFUNCTION("IMPORTRANGE(""https://docs.google.com/spreadsheets/d/11923uPwbBZFjjGgGUA6NLw09EwE0CqkOc4q9oUmW1yo/edit?usp=sharing"",""เชียงราย!I545"")"),0)</f>
        <v>0</v>
      </c>
      <c r="J650" s="535">
        <f ca="1">IFERROR(__xludf.DUMMYFUNCTION("IMPORTRANGE(""https://docs.google.com/spreadsheets/d/11923uPwbBZFjjGgGUA6NLw09EwE0CqkOc4q9oUmW1yo/edit?usp=sharing"",""เชียงราย!J545"")"),0)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IFERROR(__xludf.DUMMYFUNCTION("IMPORTRANGE(""https://docs.google.com/spreadsheets/d/11923uPwbBZFjjGgGUA6NLw09EwE0CqkOc4q9oUmW1yo/edit?usp=sharing"",""เชียงราย!L545"")"),0)</f>
        <v>0</v>
      </c>
      <c r="M650" s="520"/>
      <c r="N650" s="537">
        <f ca="1">IFERROR(__xludf.DUMMYFUNCTION("IMPORTRANGE(""https://docs.google.com/spreadsheets/d/11923uPwbBZFjjGgGUA6NLw09EwE0CqkOc4q9oUmW1yo/edit?usp=sharing"",""เชียงราย!M545"")"),0)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IFERROR(__xludf.DUMMYFUNCTION("IMPORTRANGE(""https://docs.google.com/spreadsheets/d/11923uPwbBZFjjGgGUA6NLw09EwE0CqkOc4q9oUmW1yo/edit?usp=sharing"",""เชียงราย!I546"")"),0)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IFERROR(__xludf.DUMMYFUNCTION("IMPORTRANGE(""https://docs.google.com/spreadsheets/d/11923uPwbBZFjjGgGUA6NLw09EwE0CqkOc4q9oUmW1yo/edit?usp=sharing"",""เชียงราย!L546"")"),0)</f>
        <v>0</v>
      </c>
      <c r="M651" s="520"/>
      <c r="N651" s="537">
        <f ca="1">IFERROR(__xludf.DUMMYFUNCTION("IMPORTRANGE(""https://docs.google.com/spreadsheets/d/11923uPwbBZFjjGgGUA6NLw09EwE0CqkOc4q9oUmW1yo/edit?usp=sharing"",""เชียงราย!M546"")"),0)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IFERROR(__xludf.DUMMYFUNCTION("IMPORTRANGE(""https://docs.google.com/spreadsheets/d/11923uPwbBZFjjGgGUA6NLw09EwE0CqkOc4q9oUmW1yo/edit?usp=sharing"",""เชียงราย!J547"")"),0)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IFERROR(__xludf.DUMMYFUNCTION("IMPORTRANGE(""https://docs.google.com/spreadsheets/d/11923uPwbBZFjjGgGUA6NLw09EwE0CqkOc4q9oUmW1yo/edit?usp=sharing"",""เชียงราย!J548"")"),0)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IFERROR(__xludf.DUMMYFUNCTION("IMPORTRANGE(""https://docs.google.com/spreadsheets/d/11923uPwbBZFjjGgGUA6NLw09EwE0CqkOc4q9oUmW1yo/edit?usp=sharing"",""เชียงราย!J550"")"),0)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IFERROR(__xludf.DUMMYFUNCTION("IMPORTRANGE(""https://docs.google.com/spreadsheets/d/11923uPwbBZFjjGgGUA6NLw09EwE0CqkOc4q9oUmW1yo/edit?usp=sharing"",""เชียงราย!J551"")"),0)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IFERROR(__xludf.DUMMYFUNCTION("IMPORTRANGE(""https://docs.google.com/spreadsheets/d/11923uPwbBZFjjGgGUA6NLw09EwE0CqkOc4q9oUmW1yo/edit?usp=sharing"",""เชียงราย!J552"")"),0)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IFERROR(__xludf.DUMMYFUNCTION("IMPORTRANGE(""https://docs.google.com/spreadsheets/d/11923uPwbBZFjjGgGUA6NLw09EwE0CqkOc4q9oUmW1yo/edit?usp=sharing"",""เชียงราย!J553"")"),0)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IFERROR(__xludf.DUMMYFUNCTION("IMPORTRANGE(""https://docs.google.com/spreadsheets/d/11923uPwbBZFjjGgGUA6NLw09EwE0CqkOc4q9oUmW1yo/edit?usp=sharing"",""เชียงราย!J554"")"),0)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IFERROR(__xludf.DUMMYFUNCTION("IMPORTRANGE(""https://docs.google.com/spreadsheets/d/11923uPwbBZFjjGgGUA6NLw09EwE0CqkOc4q9oUmW1yo/edit?usp=sharing"",""เชียงราย!J555"")"),0)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IFERROR(__xludf.DUMMYFUNCTION("IMPORTRANGE(""https://docs.google.com/spreadsheets/d/11923uPwbBZFjjGgGUA6NLw09EwE0CqkOc4q9oUmW1yo/edit?usp=sharing"",""เชียงราย!J556"")"),0)</f>
        <v>0</v>
      </c>
      <c r="K661" s="536"/>
      <c r="L661" s="521">
        <f ca="1">IFERROR(__xludf.DUMMYFUNCTION("IMPORTRANGE(""https://docs.google.com/spreadsheets/d/11923uPwbBZFjjGgGUA6NLw09EwE0CqkOc4q9oUmW1yo/edit?usp=sharing"",""เชียงราย!L556"")"),0)</f>
        <v>0</v>
      </c>
      <c r="M661" s="520"/>
      <c r="N661" s="537">
        <f ca="1">IFERROR(__xludf.DUMMYFUNCTION("IMPORTRANGE(""https://docs.google.com/spreadsheets/d/11923uPwbBZFjjGgGUA6NLw09EwE0CqkOc4q9oUmW1yo/edit?usp=sharing"",""เชียงราย!M556"")"),0)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IFERROR(__xludf.DUMMYFUNCTION("IMPORTRANGE(""https://docs.google.com/spreadsheets/d/11923uPwbBZFjjGgGUA6NLw09EwE0CqkOc4q9oUmW1yo/edit?usp=sharing"",""เชียงราย!J557"")"),0)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IFERROR(__xludf.DUMMYFUNCTION("IMPORTRANGE(""https://docs.google.com/spreadsheets/d/11923uPwbBZFjjGgGUA6NLw09EwE0CqkOc4q9oUmW1yo/edit?usp=sharing"",""เชียงราย!I558"")"),0)</f>
        <v>0</v>
      </c>
      <c r="J663" s="535">
        <f ca="1">IFERROR(__xludf.DUMMYFUNCTION("IMPORTRANGE(""https://docs.google.com/spreadsheets/d/11923uPwbBZFjjGgGUA6NLw09EwE0CqkOc4q9oUmW1yo/edit?usp=sharing"",""เชียงราย!J558"")"),0)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IFERROR(__xludf.DUMMYFUNCTION("IMPORTRANGE(""https://docs.google.com/spreadsheets/d/11923uPwbBZFjjGgGUA6NLw09EwE0CqkOc4q9oUmW1yo/edit?usp=sharing"",""เชียงราย!I560"")"),0)</f>
        <v>0</v>
      </c>
      <c r="J665" s="535">
        <f ca="1">IFERROR(__xludf.DUMMYFUNCTION("IMPORTRANGE(""https://docs.google.com/spreadsheets/d/11923uPwbBZFjjGgGUA6NLw09EwE0CqkOc4q9oUmW1yo/edit?usp=sharing"",""เชียงราย!J560"")"),0)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IFERROR(__xludf.DUMMYFUNCTION("IMPORTRANGE(""https://docs.google.com/spreadsheets/d/11923uPwbBZFjjGgGUA6NLw09EwE0CqkOc4q9oUmW1yo/edit?usp=sharing"",""เชียงราย!L560"")"),0)</f>
        <v>0</v>
      </c>
      <c r="M665" s="520"/>
      <c r="N665" s="537">
        <f ca="1">IFERROR(__xludf.DUMMYFUNCTION("IMPORTRANGE(""https://docs.google.com/spreadsheets/d/11923uPwbBZFjjGgGUA6NLw09EwE0CqkOc4q9oUmW1yo/edit?usp=sharing"",""เชียงราย!M560"")"),0)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IFERROR(__xludf.DUMMYFUNCTION("IMPORTRANGE(""https://docs.google.com/spreadsheets/d/11923uPwbBZFjjGgGUA6NLw09EwE0CqkOc4q9oUmW1yo/edit?usp=sharing"",""เชียงราย!J561"")"),0)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IFERROR(__xludf.DUMMYFUNCTION("IMPORTRANGE(""https://docs.google.com/spreadsheets/d/11923uPwbBZFjjGgGUA6NLw09EwE0CqkOc4q9oUmW1yo/edit?usp=sharing"",""เชียงราย!J562"")"),0)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IFERROR(__xludf.DUMMYFUNCTION("IMPORTRANGE(""https://docs.google.com/spreadsheets/d/11923uPwbBZFjjGgGUA6NLw09EwE0CqkOc4q9oUmW1yo/edit?usp=sharing"",""เชียงราย!I563"")"),0)</f>
        <v>0</v>
      </c>
      <c r="J668" s="535">
        <f ca="1">IFERROR(__xludf.DUMMYFUNCTION("IMPORTRANGE(""https://docs.google.com/spreadsheets/d/11923uPwbBZFjjGgGUA6NLw09EwE0CqkOc4q9oUmW1yo/edit?usp=sharing"",""เชียงราย!J563"")"),0)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IFERROR(__xludf.DUMMYFUNCTION("IMPORTRANGE(""https://docs.google.com/spreadsheets/d/11923uPwbBZFjjGgGUA6NLw09EwE0CqkOc4q9oUmW1yo/edit?usp=sharing"",""เชียงราย!L563"")"),0)</f>
        <v>0</v>
      </c>
      <c r="M668" s="520"/>
      <c r="N668" s="537">
        <f ca="1">IFERROR(__xludf.DUMMYFUNCTION("IMPORTRANGE(""https://docs.google.com/spreadsheets/d/11923uPwbBZFjjGgGUA6NLw09EwE0CqkOc4q9oUmW1yo/edit?usp=sharing"",""เชียงราย!M563"")"),0)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IFERROR(__xludf.DUMMYFUNCTION("IMPORTRANGE(""https://docs.google.com/spreadsheets/d/11923uPwbBZFjjGgGUA6NLw09EwE0CqkOc4q9oUmW1yo/edit?usp=sharing"",""เชียงราย!J564"")"),0)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IFERROR(__xludf.DUMMYFUNCTION("IMPORTRANGE(""https://docs.google.com/spreadsheets/d/11923uPwbBZFjjGgGUA6NLw09EwE0CqkOc4q9oUmW1yo/edit?usp=sharing"",""เชียงราย!J565"")"),0)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IFERROR(__xludf.DUMMYFUNCTION("IMPORTRANGE(""https://docs.google.com/spreadsheets/d/11923uPwbBZFjjGgGUA6NLw09EwE0CqkOc4q9oUmW1yo/edit?usp=sharing"",""เชียงราย!I566"")"),0)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IFERROR(__xludf.DUMMYFUNCTION("IMPORTRANGE(""https://docs.google.com/spreadsheets/d/11923uPwbBZFjjGgGUA6NLw09EwE0CqkOc4q9oUmW1yo/edit?usp=sharing"",""เชียงราย!L566"")"),0)</f>
        <v>0</v>
      </c>
      <c r="M671" s="520"/>
      <c r="N671" s="537">
        <f ca="1">IFERROR(__xludf.DUMMYFUNCTION("IMPORTRANGE(""https://docs.google.com/spreadsheets/d/11923uPwbBZFjjGgGUA6NLw09EwE0CqkOc4q9oUmW1yo/edit?usp=sharing"",""เชียงราย!M566"")"),0)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IFERROR(__xludf.DUMMYFUNCTION("IMPORTRANGE(""https://docs.google.com/spreadsheets/d/11923uPwbBZFjjGgGUA6NLw09EwE0CqkOc4q9oUmW1yo/edit?usp=sharing"",""เชียงราย!J567"")"),0)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IFERROR(__xludf.DUMMYFUNCTION("IMPORTRANGE(""https://docs.google.com/spreadsheets/d/11923uPwbBZFjjGgGUA6NLw09EwE0CqkOc4q9oUmW1yo/edit?usp=sharing"",""เชียงราย!J568"")"),0)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IFERROR(__xludf.DUMMYFUNCTION("IMPORTRANGE(""https://docs.google.com/spreadsheets/d/11923uPwbBZFjjGgGUA6NLw09EwE0CqkOc4q9oUmW1yo/edit?usp=sharing"",""เชียงราย!J569"")"),0)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IFERROR(__xludf.DUMMYFUNCTION("IMPORTRANGE(""https://docs.google.com/spreadsheets/d/11923uPwbBZFjjGgGUA6NLw09EwE0CqkOc4q9oUmW1yo/edit?usp=sharing"",""เชียงราย!J570"")"),0)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IFERROR(__xludf.DUMMYFUNCTION("IMPORTRANGE(""https://docs.google.com/spreadsheets/d/11923uPwbBZFjjGgGUA6NLw09EwE0CqkOc4q9oUmW1yo/edit?usp=sharing"",""เชียงราย!J571"")"),0)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IFERROR(__xludf.DUMMYFUNCTION("IMPORTRANGE(""https://docs.google.com/spreadsheets/d/11923uPwbBZFjjGgGUA6NLw09EwE0CqkOc4q9oUmW1yo/edit?usp=sharing"",""เชียงราย!J572"")"),0)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D297:E297"/>
    <mergeCell ref="D310:G310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21:F21"/>
    <mergeCell ref="D25:E25"/>
    <mergeCell ref="A27:G27"/>
    <mergeCell ref="D28:G28"/>
    <mergeCell ref="D31:F3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A1:P1"/>
    <mergeCell ref="A2:P2"/>
    <mergeCell ref="A3:P3"/>
    <mergeCell ref="F650:G650"/>
    <mergeCell ref="F651:G651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264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7355684</v>
      </c>
      <c r="M8" s="23">
        <f t="shared" ca="1" si="0"/>
        <v>3759465</v>
      </c>
      <c r="N8" s="23">
        <f t="shared" ca="1" si="0"/>
        <v>4055475.7499999991</v>
      </c>
      <c r="O8" s="22">
        <f t="shared" ref="O8:O16" ca="1" si="1">IF(L8&gt;0,N8*100/L8,0)</f>
        <v>55.133903930620171</v>
      </c>
      <c r="P8" s="22">
        <f t="shared" ref="P8:P16" ca="1" si="2">IF(M8&gt;0,N8*100/M8,0)</f>
        <v>107.87374666342149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7355684</v>
      </c>
      <c r="M10" s="30">
        <f t="shared" ca="1" si="4"/>
        <v>3759465</v>
      </c>
      <c r="N10" s="30">
        <f t="shared" ca="1" si="4"/>
        <v>4055475.7499999991</v>
      </c>
      <c r="O10" s="29">
        <f t="shared" ca="1" si="1"/>
        <v>55.133903930620171</v>
      </c>
      <c r="P10" s="29">
        <f t="shared" ca="1" si="2"/>
        <v>107.87374666342149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7044284</v>
      </c>
      <c r="M12" s="39">
        <f t="shared" ca="1" si="6"/>
        <v>3448065</v>
      </c>
      <c r="N12" s="39">
        <f t="shared" ca="1" si="6"/>
        <v>3744075.7499999991</v>
      </c>
      <c r="O12" s="39">
        <f t="shared" ca="1" si="1"/>
        <v>53.150550857972206</v>
      </c>
      <c r="P12" s="39">
        <f t="shared" ca="1" si="2"/>
        <v>108.58483671276495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4632284</v>
      </c>
      <c r="M14" s="39">
        <f t="shared" si="8"/>
        <v>0</v>
      </c>
      <c r="N14" s="39">
        <f t="shared" ca="1" si="8"/>
        <v>1103754.3299999989</v>
      </c>
      <c r="O14" s="39">
        <f t="shared" ca="1" si="1"/>
        <v>23.827432212705418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3759465</v>
      </c>
      <c r="N18" s="23">
        <f t="shared" ca="1" si="11"/>
        <v>2951721.4200000004</v>
      </c>
      <c r="O18" s="22">
        <f t="shared" ref="O18:O20" ca="1" si="12">IF(L18&gt;0,N18*100/L18,0)</f>
        <v>62.321185396633041</v>
      </c>
      <c r="P18" s="22">
        <f t="shared" ref="P18:P26" ca="1" si="13">IF(M18&gt;0,N18*100/M18,0)</f>
        <v>78.51440085224894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3759465</v>
      </c>
      <c r="N20" s="30">
        <f t="shared" ca="1" si="15"/>
        <v>2951721.4200000004</v>
      </c>
      <c r="O20" s="29">
        <f t="shared" ca="1" si="12"/>
        <v>62.321185396633041</v>
      </c>
      <c r="P20" s="29">
        <f t="shared" ca="1" si="13"/>
        <v>78.51440085224894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4424905</v>
      </c>
      <c r="M22" s="42">
        <f t="shared" ca="1" si="18"/>
        <v>3448065</v>
      </c>
      <c r="N22" s="39">
        <f t="shared" ca="1" si="18"/>
        <v>2640321.4200000004</v>
      </c>
      <c r="O22" s="39">
        <f t="shared" ca="1" si="17"/>
        <v>59.66956171940415</v>
      </c>
      <c r="P22" s="39">
        <f t="shared" ca="1" si="13"/>
        <v>76.574003680325063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2012905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2619379</v>
      </c>
      <c r="M28" s="23">
        <f t="shared" si="23"/>
        <v>0</v>
      </c>
      <c r="N28" s="23">
        <f t="shared" ca="1" si="23"/>
        <v>1103754.3299999989</v>
      </c>
      <c r="O28" s="22">
        <f t="shared" ref="O28:O30" ca="1" si="24">IF(L28&gt;0,N28*100/L28,0)</f>
        <v>42.138015537270434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2619379</v>
      </c>
      <c r="M30" s="30">
        <f t="shared" si="27"/>
        <v>0</v>
      </c>
      <c r="N30" s="30">
        <f t="shared" ca="1" si="27"/>
        <v>1103754.3299999989</v>
      </c>
      <c r="O30" s="29">
        <f t="shared" ca="1" si="24"/>
        <v>42.138015537270434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2619379</v>
      </c>
      <c r="M32" s="39">
        <f t="shared" si="30"/>
        <v>0</v>
      </c>
      <c r="N32" s="39">
        <f t="shared" ca="1" si="30"/>
        <v>1103754.3299999989</v>
      </c>
      <c r="O32" s="39">
        <f t="shared" ca="1" si="29"/>
        <v>42.138015537270434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2619379</v>
      </c>
      <c r="M34" s="39">
        <f t="shared" si="32"/>
        <v>0</v>
      </c>
      <c r="N34" s="39">
        <f t="shared" ca="1" si="32"/>
        <v>1103754.3299999989</v>
      </c>
      <c r="O34" s="39">
        <f t="shared" ca="1" si="29"/>
        <v>42.138015537270434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4736305</v>
      </c>
      <c r="M37" s="55">
        <f t="shared" ca="1" si="33"/>
        <v>3759465</v>
      </c>
      <c r="N37" s="55">
        <f t="shared" ca="1" si="33"/>
        <v>2951721.4200000004</v>
      </c>
      <c r="O37" s="56">
        <f t="shared" ca="1" si="29"/>
        <v>62.321185396633041</v>
      </c>
      <c r="P37" s="56">
        <f t="shared" ca="1" si="25"/>
        <v>78.51440085224894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707800</v>
      </c>
      <c r="N41" s="79">
        <f t="shared" ca="1" si="34"/>
        <v>673048.54</v>
      </c>
      <c r="O41" s="78">
        <f t="shared" ref="O41:O43" ca="1" si="35">IF(L41&gt;0,N41*100/L41,0)</f>
        <v>76.050682485875711</v>
      </c>
      <c r="P41" s="78">
        <f t="shared" ref="P41:P43" ca="1" si="36">IF(M41&gt;0,N41*100/M41,0)</f>
        <v>95.090214749929359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707800</v>
      </c>
      <c r="N43" s="79">
        <f t="shared" ca="1" si="38"/>
        <v>673048.54</v>
      </c>
      <c r="O43" s="78">
        <f t="shared" ca="1" si="35"/>
        <v>76.050682485875711</v>
      </c>
      <c r="P43" s="78">
        <f t="shared" ca="1" si="36"/>
        <v>95.090214749929359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IFERROR(__xludf.DUMMYFUNCTION("IMPORTRANGE(""https://docs.google.com/spreadsheets/d/1Yj_ptqi66GCucihVvJfMjLAmec39IyEx_6qawtMGysU/edit?usp=sharing"",""สบก!Q22"")"),531800)</f>
        <v>531800</v>
      </c>
      <c r="N45" s="50">
        <f ca="1">IFERROR(__xludf.DUMMYFUNCTION("IMPORTRANGE(""https://docs.google.com/spreadsheets/d/1Yj_ptqi66GCucihVvJfMjLAmec39IyEx_6qawtMGysU/edit?usp=sharing"",""สบก!R22"")"),497048.54)</f>
        <v>497048.54</v>
      </c>
      <c r="O45" s="39">
        <f ca="1">IF(L45&gt;0,N45*100/L45,0)</f>
        <v>70.105576868829331</v>
      </c>
      <c r="P45" s="39">
        <f ca="1">IF(M45&gt;0,N45*100/M45,0)</f>
        <v>93.465314027830004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682230</v>
      </c>
      <c r="N53" s="121">
        <f t="shared" ca="1" si="39"/>
        <v>578132</v>
      </c>
      <c r="O53" s="120">
        <f t="shared" ref="O53:O55" ca="1" si="40">IF(L53&gt;0,N53*100/L53,0)</f>
        <v>64.236888888888885</v>
      </c>
      <c r="P53" s="120">
        <f t="shared" ref="P53:P55" ca="1" si="41">IF(M53&gt;0,N53*100/M53,0)</f>
        <v>84.74150946161852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682230</v>
      </c>
      <c r="N55" s="121">
        <f t="shared" ca="1" si="43"/>
        <v>578132</v>
      </c>
      <c r="O55" s="120">
        <f t="shared" ca="1" si="40"/>
        <v>64.236888888888885</v>
      </c>
      <c r="P55" s="120">
        <f t="shared" ca="1" si="41"/>
        <v>84.74150946161852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IFERROR(__xludf.DUMMYFUNCTION("IMPORTRANGE(""https://docs.google.com/spreadsheets/d/1Yj_ptqi66GCucihVvJfMjLAmec39IyEx_6qawtMGysU/edit?usp=sharing"",""สบก!Z22"")"),682230)</f>
        <v>682230</v>
      </c>
      <c r="N57" s="50">
        <f ca="1">IFERROR(__xludf.DUMMYFUNCTION("IMPORTRANGE(""https://docs.google.com/spreadsheets/d/1Yj_ptqi66GCucihVvJfMjLAmec39IyEx_6qawtMGysU/edit?usp=sharing"",""สบก!AA22"")"),578132)</f>
        <v>578132</v>
      </c>
      <c r="O57" s="39">
        <f ca="1">IF(L57&gt;0,N57*100/L57,0)</f>
        <v>64.236888888888885</v>
      </c>
      <c r="P57" s="39">
        <f ca="1">IF(M57&gt;0,N57*100/M57,0)</f>
        <v>84.74150946161852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413620</v>
      </c>
      <c r="N66" s="152">
        <f t="shared" ca="1" si="45"/>
        <v>314228.27</v>
      </c>
      <c r="O66" s="151">
        <f t="shared" ref="O66:O68" ca="1" si="46">IF(L66&gt;0,N66*100/L66,0)</f>
        <v>64.656022633744854</v>
      </c>
      <c r="P66" s="151">
        <f t="shared" ref="P66:P68" ca="1" si="47">IF(M66&gt;0,N66*100/M66,0)</f>
        <v>75.970279483583965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413620</v>
      </c>
      <c r="N68" s="88">
        <f t="shared" ca="1" si="49"/>
        <v>314228.27</v>
      </c>
      <c r="O68" s="156">
        <f t="shared" ca="1" si="46"/>
        <v>64.656022633744854</v>
      </c>
      <c r="P68" s="156">
        <f t="shared" ca="1" si="47"/>
        <v>75.970279483583965</v>
      </c>
    </row>
    <row r="69" spans="1:16" ht="21.75" customHeight="1" x14ac:dyDescent="0.4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IFERROR(__xludf.DUMMYFUNCTION("IMPORTRANGE(""https://docs.google.com/spreadsheets/d/1Yj_ptqi66GCucihVvJfMjLAmec39IyEx_6qawtMGysU/edit?usp=sharing"",""สบก!AI22"")"),413620)</f>
        <v>413620</v>
      </c>
      <c r="N70" s="168">
        <f ca="1">IFERROR(__xludf.DUMMYFUNCTION("IMPORTRANGE(""https://docs.google.com/spreadsheets/d/1Yj_ptqi66GCucihVvJfMjLAmec39IyEx_6qawtMGysU/edit?usp=sharing"",""สบก!AJ22"")"),314228.27)</f>
        <v>314228.27</v>
      </c>
      <c r="O70" s="168">
        <f ca="1">IF(L70&gt;0,N70*100/L70,0)</f>
        <v>64.656022633744854</v>
      </c>
      <c r="P70" s="168">
        <f ca="1">IF(M70&gt;0,N70*100/M70,0)</f>
        <v>75.970279483583965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152064</v>
      </c>
      <c r="O94" s="151">
        <f t="shared" ref="O94:O96" ca="1" si="53">IF(L94&gt;0,N94*100/L94,0)</f>
        <v>70.892307692307696</v>
      </c>
      <c r="P94" s="151">
        <f t="shared" ref="P94:P96" ca="1" si="54">IF(M94&gt;0,N94*100/M94,0)</f>
        <v>78.200097708981517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152064</v>
      </c>
      <c r="O96" s="156">
        <f t="shared" ca="1" si="53"/>
        <v>70.892307692307696</v>
      </c>
      <c r="P96" s="156">
        <f t="shared" ca="1" si="54"/>
        <v>78.200097708981517</v>
      </c>
    </row>
    <row r="97" spans="1:16" ht="21.75" customHeight="1" x14ac:dyDescent="0.4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IFERROR(__xludf.DUMMYFUNCTION("IMPORTRANGE(""https://docs.google.com/spreadsheets/d/1Yj_ptqi66GCucihVvJfMjLAmec39IyEx_6qawtMGysU/edit?usp=sharing"",""สบก!AR22"")"),102055)</f>
        <v>102055</v>
      </c>
      <c r="N98" s="168">
        <f ca="1">IFERROR(__xludf.DUMMYFUNCTION("IMPORTRANGE(""https://docs.google.com/spreadsheets/d/1Yj_ptqi66GCucihVvJfMjLAmec39IyEx_6qawtMGysU/edit?usp=sharing"",""สบก!AS22"")"),59664)</f>
        <v>59664</v>
      </c>
      <c r="O98" s="168">
        <f ca="1">IF(L98&gt;0,N98*100/L98,0)</f>
        <v>48.864864864864863</v>
      </c>
      <c r="P98" s="168">
        <f ca="1">IF(M98&gt;0,N98*100/M98,0)</f>
        <v>58.462593699475775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891700</v>
      </c>
      <c r="M140" s="152">
        <f t="shared" ca="1" si="64"/>
        <v>752775</v>
      </c>
      <c r="N140" s="152">
        <f t="shared" ca="1" si="64"/>
        <v>485135.1</v>
      </c>
      <c r="O140" s="151">
        <f t="shared" ref="O140:O142" ca="1" si="65">IF(L140&gt;0,N140*100/L140,0)</f>
        <v>54.405640910620164</v>
      </c>
      <c r="P140" s="151">
        <f t="shared" ref="P140:P142" ca="1" si="66">IF(M140&gt;0,N140*100/M140,0)</f>
        <v>64.446228952874364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891700</v>
      </c>
      <c r="M142" s="88">
        <f t="shared" ca="1" si="68"/>
        <v>752775</v>
      </c>
      <c r="N142" s="88">
        <f t="shared" ca="1" si="68"/>
        <v>485135.1</v>
      </c>
      <c r="O142" s="156">
        <f t="shared" ca="1" si="65"/>
        <v>54.405640910620164</v>
      </c>
      <c r="P142" s="156">
        <f t="shared" ca="1" si="66"/>
        <v>64.446228952874364</v>
      </c>
    </row>
    <row r="143" spans="1:16" ht="21.75" customHeight="1" x14ac:dyDescent="0.4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IFERROR(__xludf.DUMMYFUNCTION("IMPORTRANGE(""https://docs.google.com/spreadsheets/d/1Yj_ptqi66GCucihVvJfMjLAmec39IyEx_6qawtMGysU/edit?usp=sharing"",""สบก!BJ22"")"),752775)</f>
        <v>752775</v>
      </c>
      <c r="N144" s="168">
        <f ca="1">IFERROR(__xludf.DUMMYFUNCTION("IMPORTRANGE(""https://docs.google.com/spreadsheets/d/1Yj_ptqi66GCucihVvJfMjLAmec39IyEx_6qawtMGysU/edit?usp=sharing"",""สบก!BK22"")"),485135.1)</f>
        <v>485135.1</v>
      </c>
      <c r="O144" s="168">
        <f ca="1">IF(L144&gt;0,N144*100/L144,0)</f>
        <v>54.405640910620164</v>
      </c>
      <c r="P144" s="168">
        <f ca="1">IF(M144&gt;0,N144*100/M144,0)</f>
        <v>64.446228952874364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IFERROR(__xludf.DUMMYFUNCTION("IMPORTRANGE(""https://docs.google.com/spreadsheets/d/11923uPwbBZFjjGgGUA6NLw09EwE0CqkOc4q9oUmW1yo/edit?usp=sharing"",""เชียงใหม่!J84"")"),53)</f>
        <v>53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IFERROR(__xludf.DUMMYFUNCTION("IMPORTRANGE(""https://docs.google.com/spreadsheets/d/11923uPwbBZFjjGgGUA6NLw09EwE0CqkOc4q9oUmW1yo/edit?usp=sharing"",""เชียงใหม่!J85"")"),53)</f>
        <v>53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IFERROR(__xludf.DUMMYFUNCTION("IMPORTRANGE(""https://docs.google.com/spreadsheets/d/11923uPwbBZFjjGgGUA6NLw09EwE0CqkOc4q9oUmW1yo/edit?usp=sharing"",""เชียงใหม่!J107"")"),1)</f>
        <v>1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39422</v>
      </c>
      <c r="O250" s="151">
        <f t="shared" ref="O250:O252" ca="1" si="78">IF(L250&gt;0,N250*100/L250,0)</f>
        <v>55.212885154061624</v>
      </c>
      <c r="P250" s="151">
        <f t="shared" ref="P250:P252" ca="1" si="79">IF(M250&gt;0,N250*100/M250,0)</f>
        <v>93.861904761904768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39422</v>
      </c>
      <c r="O252" s="156">
        <f t="shared" ca="1" si="78"/>
        <v>55.212885154061624</v>
      </c>
      <c r="P252" s="156">
        <f t="shared" ca="1" si="79"/>
        <v>93.861904761904768</v>
      </c>
    </row>
    <row r="253" spans="1:16" ht="21.75" customHeight="1" x14ac:dyDescent="0.4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IFERROR(__xludf.DUMMYFUNCTION("IMPORTRANGE(""https://docs.google.com/spreadsheets/d/1Yj_ptqi66GCucihVvJfMjLAmec39IyEx_6qawtMGysU/edit?usp=sharing"",""สบก!CB22"")"),42000)</f>
        <v>42000</v>
      </c>
      <c r="N254" s="168">
        <f ca="1">IFERROR(__xludf.DUMMYFUNCTION("IMPORTRANGE(""https://docs.google.com/spreadsheets/d/1Yj_ptqi66GCucihVvJfMjLAmec39IyEx_6qawtMGysU/edit?usp=sharing"",""สบก!CC22"")"),39422)</f>
        <v>39422</v>
      </c>
      <c r="O254" s="168">
        <f ca="1">IF(L254&gt;0,N254*100/L254,0)</f>
        <v>55.212885154061624</v>
      </c>
      <c r="P254" s="168">
        <f ca="1">IF(M254&gt;0,N254*100/M254,0)</f>
        <v>93.861904761904768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64373.599999999999</v>
      </c>
      <c r="O271" s="151">
        <f t="shared" ref="O271:O273" ca="1" si="84">IF(L271&gt;0,N271*100/L271,0)</f>
        <v>60.90217596972564</v>
      </c>
      <c r="P271" s="151">
        <f t="shared" ref="P271:P273" ca="1" si="85">IF(M271&gt;0,N271*100/M271,0)</f>
        <v>80.466999999999999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64373.599999999999</v>
      </c>
      <c r="O273" s="156">
        <f t="shared" ca="1" si="84"/>
        <v>60.90217596972564</v>
      </c>
      <c r="P273" s="156">
        <f t="shared" ca="1" si="85"/>
        <v>80.466999999999999</v>
      </c>
    </row>
    <row r="274" spans="1:16" ht="21.75" customHeight="1" x14ac:dyDescent="0.4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IFERROR(__xludf.DUMMYFUNCTION("IMPORTRANGE(""https://docs.google.com/spreadsheets/d/1Yj_ptqi66GCucihVvJfMjLAmec39IyEx_6qawtMGysU/edit?usp=sharing"",""สบก!CK22"")"),80000)</f>
        <v>80000</v>
      </c>
      <c r="N275" s="168">
        <f ca="1">IFERROR(__xludf.DUMMYFUNCTION("IMPORTRANGE(""https://docs.google.com/spreadsheets/d/1Yj_ptqi66GCucihVvJfMjLAmec39IyEx_6qawtMGysU/edit?usp=sharing"",""สบก!CL22"")"),64373.6)</f>
        <v>64373.599999999999</v>
      </c>
      <c r="O275" s="168">
        <f ca="1">IF(L275&gt;0,N275*100/L275,0)</f>
        <v>60.90217596972564</v>
      </c>
      <c r="P275" s="168">
        <f ca="1">IF(M275&gt;0,N275*100/M275,0)</f>
        <v>80.466999999999999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236700</v>
      </c>
      <c r="N310" s="152">
        <f t="shared" ca="1" si="93"/>
        <v>120827.75</v>
      </c>
      <c r="O310" s="151">
        <f t="shared" ref="O310:O312" ca="1" si="94">IF(L310&gt;0,N310*100/L310,0)</f>
        <v>38.285091888466411</v>
      </c>
      <c r="P310" s="151">
        <f t="shared" ref="P310:P312" ca="1" si="95">IF(M310&gt;0,N310*100/M310,0)</f>
        <v>51.046789184621886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236700</v>
      </c>
      <c r="N312" s="88">
        <f t="shared" ca="1" si="97"/>
        <v>120827.75</v>
      </c>
      <c r="O312" s="156">
        <f t="shared" ca="1" si="94"/>
        <v>38.285091888466411</v>
      </c>
      <c r="P312" s="156">
        <f t="shared" ca="1" si="95"/>
        <v>51.046789184621886</v>
      </c>
    </row>
    <row r="313" spans="1:16" ht="21.75" customHeight="1" x14ac:dyDescent="0.4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IFERROR(__xludf.DUMMYFUNCTION("IMPORTRANGE(""https://docs.google.com/spreadsheets/d/1Yj_ptqi66GCucihVvJfMjLAmec39IyEx_6qawtMGysU/edit?usp=sharing"",""สบก!DC22"")"),236700)</f>
        <v>236700</v>
      </c>
      <c r="N314" s="168">
        <f ca="1">IFERROR(__xludf.DUMMYFUNCTION("IMPORTRANGE(""https://docs.google.com/spreadsheets/d/1Yj_ptqi66GCucihVvJfMjLAmec39IyEx_6qawtMGysU/edit?usp=sharing"",""สบก!DD22"")"),120827.75)</f>
        <v>120827.75</v>
      </c>
      <c r="O314" s="168">
        <f ca="1">IF(L314&gt;0,N314*100/L314,0)</f>
        <v>38.285091888466411</v>
      </c>
      <c r="P314" s="168">
        <f ca="1">IF(M314&gt;0,N314*100/M314,0)</f>
        <v>51.046789184621886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IFERROR(__xludf.DUMMYFUNCTION("IMPORTRANGE(""https://docs.google.com/spreadsheets/d/11923uPwbBZFjjGgGUA6NLw09EwE0CqkOc4q9oUmW1yo/edit?usp=sharing"",""เชียงใหม่!J228"")"),76)</f>
        <v>76</v>
      </c>
      <c r="K328" s="317">
        <f ca="1">IF(I328&gt;0,J328*100/I328,0)</f>
        <v>24.126984126984127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628760</v>
      </c>
      <c r="N329" s="152">
        <f t="shared" ca="1" si="98"/>
        <v>503365.16</v>
      </c>
      <c r="O329" s="151">
        <f t="shared" ref="O329:O331" ca="1" si="99">IF(L329&gt;0,N329*100/L329,0)</f>
        <v>59.550108839674429</v>
      </c>
      <c r="P329" s="151">
        <f t="shared" ref="P329:P331" ca="1" si="100">IF(M329&gt;0,N329*100/M329,0)</f>
        <v>80.056803867930526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628760</v>
      </c>
      <c r="N331" s="88">
        <f t="shared" ca="1" si="102"/>
        <v>503365.16</v>
      </c>
      <c r="O331" s="156">
        <f t="shared" ca="1" si="99"/>
        <v>59.550108839674429</v>
      </c>
      <c r="P331" s="156">
        <f t="shared" ca="1" si="100"/>
        <v>80.056803867930526</v>
      </c>
    </row>
    <row r="332" spans="1:16" ht="21.75" customHeight="1" x14ac:dyDescent="0.4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IFERROR(__xludf.DUMMYFUNCTION("IMPORTRANGE(""https://docs.google.com/spreadsheets/d/1Yj_ptqi66GCucihVvJfMjLAmec39IyEx_6qawtMGysU/edit?usp=sharing"",""สบก!DL22"")"),585760)</f>
        <v>585760</v>
      </c>
      <c r="N333" s="168">
        <f ca="1">IFERROR(__xludf.DUMMYFUNCTION("IMPORTRANGE(""https://docs.google.com/spreadsheets/d/1Yj_ptqi66GCucihVvJfMjLAmec39IyEx_6qawtMGysU/edit?usp=sharing"",""สบก!DM22"")"),460365.16)</f>
        <v>460365.16</v>
      </c>
      <c r="O333" s="168">
        <f ca="1">IF(L333&gt;0,N333*100/L333,0)</f>
        <v>57.382105997905967</v>
      </c>
      <c r="P333" s="168">
        <f ca="1">IF(M333&gt;0,N333*100/M333,0)</f>
        <v>78.592795684239277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IFERROR(__xludf.DUMMYFUNCTION("IMPORTRANGE(""https://docs.google.com/spreadsheets/d/11923uPwbBZFjjGgGUA6NLw09EwE0CqkOc4q9oUmW1yo/edit?usp=sharing"",""เชียงใหม่!J234"")"),143)</f>
        <v>143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IFERROR(__xludf.DUMMYFUNCTION("IMPORTRANGE(""https://docs.google.com/spreadsheets/d/11923uPwbBZFjjGgGUA6NLw09EwE0CqkOc4q9oUmW1yo/edit?usp=sharing"",""เชียงใหม่!J235"")"),675.719999999999)</f>
        <v>675.719999999999</v>
      </c>
      <c r="K340" s="342">
        <f t="shared" ca="1" si="103"/>
        <v>63.74716981132066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IFERROR(__xludf.DUMMYFUNCTION("IMPORTRANGE(""https://docs.google.com/spreadsheets/d/11923uPwbBZFjjGgGUA6NLw09EwE0CqkOc4q9oUmW1yo/edit?usp=sharing"",""เชียงใหม่!J236"")"),201)</f>
        <v>201</v>
      </c>
      <c r="K341" s="342">
        <f t="shared" ca="1" si="103"/>
        <v>63.80952380952381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IFERROR(__xludf.DUMMYFUNCTION("IMPORTRANGE(""https://docs.google.com/spreadsheets/d/11923uPwbBZFjjGgGUA6NLw09EwE0CqkOc4q9oUmW1yo/edit?usp=sharing"",""เชียงใหม่!J237"")"),1087.94)</f>
        <v>1087.94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IFERROR(__xludf.DUMMYFUNCTION("IMPORTRANGE(""https://docs.google.com/spreadsheets/d/11923uPwbBZFjjGgGUA6NLw09EwE0CqkOc4q9oUmW1yo/edit?usp=sharing"",""เชียงใหม่!J240"")"),76)</f>
        <v>76</v>
      </c>
      <c r="K345" s="342">
        <f t="shared" ca="1" si="103"/>
        <v>24.126984126984127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IFERROR(__xludf.DUMMYFUNCTION("IMPORTRANGE(""https://docs.google.com/spreadsheets/d/11923uPwbBZFjjGgGUA6NLw09EwE0CqkOc4q9oUmW1yo/edit?usp=sharing"",""เชียงใหม่!J241"")"),395.8)</f>
        <v>395.8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IFERROR(__xludf.DUMMYFUNCTION("IMPORTRANGE(""https://docs.google.com/spreadsheets/d/11923uPwbBZFjjGgGUA6NLw09EwE0CqkOc4q9oUmW1yo/edit?usp=sharing"",""เชียงใหม่!L242"")"),2619379)</f>
        <v>2619379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IFERROR(__xludf.DUMMYFUNCTION("IMPORTRANGE(""https://docs.google.com/spreadsheets/d/11923uPwbBZFjjGgGUA6NLw09EwE0CqkOc4q9oUmW1yo/edit?usp=sharing"",""เชียงใหม่!M242"")"),1103754.33)</f>
        <v>1103754.33</v>
      </c>
      <c r="O347" s="357">
        <f ca="1">+IF(L347&gt;0,N347*100/L347,0)</f>
        <v>42.138015537270476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IFERROR(__xludf.DUMMYFUNCTION("IMPORTRANGE(""https://docs.google.com/spreadsheets/d/11923uPwbBZFjjGgGUA6NLw09EwE0CqkOc4q9oUmW1yo/edit?usp=sharing"",""เชียงใหม่!M244"")"),236792.58)</f>
        <v>236792.58</v>
      </c>
      <c r="O349" s="372">
        <f ca="1">+IF(L349&gt;0,N349*100/L349,0)</f>
        <v>74.519316465256793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IFERROR(__xludf.DUMMYFUNCTION("IMPORTRANGE(""https://docs.google.com/spreadsheets/d/11923uPwbBZFjjGgGUA6NLw09EwE0CqkOc4q9oUmW1yo/edit?usp=sharing"",""เชียงใหม่!M247"")"),236792.58)</f>
        <v>236792.58</v>
      </c>
      <c r="O352" s="165">
        <f t="shared" ca="1" si="105"/>
        <v>74.519316465256793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IFERROR(__xludf.DUMMYFUNCTION("IMPORTRANGE(""https://docs.google.com/spreadsheets/d/11923uPwbBZFjjGgGUA6NLw09EwE0CqkOc4q9oUmW1yo/edit?usp=sharing"",""เชียงใหม่!M249"")"),236792.58)</f>
        <v>236792.58</v>
      </c>
      <c r="O354" s="168">
        <f t="shared" ca="1" si="105"/>
        <v>74.519316465256793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IFERROR(__xludf.DUMMYFUNCTION("IMPORTRANGE(""https://docs.google.com/spreadsheets/d/11923uPwbBZFjjGgGUA6NLw09EwE0CqkOc4q9oUmW1yo/edit?usp=sharing"",""เชียงใหม่!M252"")"),90225.58)</f>
        <v>90225.58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IFERROR(__xludf.DUMMYFUNCTION("IMPORTRANGE(""https://docs.google.com/spreadsheets/d/11923uPwbBZFjjGgGUA6NLw09EwE0CqkOc4q9oUmW1yo/edit?usp=sharing"",""เชียงใหม่!M253"")"),6567)</f>
        <v>6567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IFERROR(__xludf.DUMMYFUNCTION("IMPORTRANGE(""https://docs.google.com/spreadsheets/d/11923uPwbBZFjjGgGUA6NLw09EwE0CqkOc4q9oUmW1yo/edit?usp=sharing"",""เชียงใหม่!M275"")"),250702.58)</f>
        <v>250702.58</v>
      </c>
      <c r="O380" s="372">
        <f ca="1">+IF(L380&gt;0,N380*100/L380,0)</f>
        <v>24.375080698479369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IFERROR(__xludf.DUMMYFUNCTION("IMPORTRANGE(""https://docs.google.com/spreadsheets/d/11923uPwbBZFjjGgGUA6NLw09EwE0CqkOc4q9oUmW1yo/edit?usp=sharing"",""เชียงใหม่!M278"")"),250702.58)</f>
        <v>250702.58</v>
      </c>
      <c r="O383" s="165">
        <f t="shared" ca="1" si="109"/>
        <v>24.375080698479369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IFERROR(__xludf.DUMMYFUNCTION("IMPORTRANGE(""https://docs.google.com/spreadsheets/d/11923uPwbBZFjjGgGUA6NLw09EwE0CqkOc4q9oUmW1yo/edit?usp=sharing"",""เชียงใหม่!M280"")"),250702.58)</f>
        <v>250702.58</v>
      </c>
      <c r="O385" s="168">
        <f t="shared" ca="1" si="109"/>
        <v>24.375080698479369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IFERROR(__xludf.DUMMYFUNCTION("IMPORTRANGE(""https://docs.google.com/spreadsheets/d/11923uPwbBZFjjGgGUA6NLw09EwE0CqkOc4q9oUmW1yo/edit?usp=sharing"",""เชียงใหม่!M281"")"),151060)</f>
        <v>151060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IFERROR(__xludf.DUMMYFUNCTION("IMPORTRANGE(""https://docs.google.com/spreadsheets/d/11923uPwbBZFjjGgGUA6NLw09EwE0CqkOc4q9oUmW1yo/edit?usp=sharing"",""เชียงใหม่!M283"")"),90225.58)</f>
        <v>90225.58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IFERROR(__xludf.DUMMYFUNCTION("IMPORTRANGE(""https://docs.google.com/spreadsheets/d/11923uPwbBZFjjGgGUA6NLw09EwE0CqkOc4q9oUmW1yo/edit?usp=sharing"",""เชียงใหม่!M284"")"),9417)</f>
        <v>9417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IFERROR(__xludf.DUMMYFUNCTION("IMPORTRANGE(""https://docs.google.com/spreadsheets/d/11923uPwbBZFjjGgGUA6NLw09EwE0CqkOc4q9oUmW1yo/edit?usp=sharing"",""เชียงใหม่!M296"")"),116695)</f>
        <v>116695</v>
      </c>
      <c r="O401" s="372">
        <f ca="1">+IF(L401&gt;0,N401*100/L401,0)</f>
        <v>88.599954445372404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IFERROR(__xludf.DUMMYFUNCTION("IMPORTRANGE(""https://docs.google.com/spreadsheets/d/11923uPwbBZFjjGgGUA6NLw09EwE0CqkOc4q9oUmW1yo/edit?usp=sharing"",""เชียงใหม่!M299"")"),116695)</f>
        <v>116695</v>
      </c>
      <c r="O404" s="168">
        <f t="shared" ca="1" si="112"/>
        <v>88.599954445372404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IFERROR(__xludf.DUMMYFUNCTION("IMPORTRANGE(""https://docs.google.com/spreadsheets/d/11923uPwbBZFjjGgGUA6NLw09EwE0CqkOc4q9oUmW1yo/edit?usp=sharing"",""เชียงใหม่!M301"")"),116695)</f>
        <v>116695</v>
      </c>
      <c r="O406" s="168">
        <f t="shared" ca="1" si="112"/>
        <v>88.599954445372404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IFERROR(__xludf.DUMMYFUNCTION("IMPORTRANGE(""https://docs.google.com/spreadsheets/d/11923uPwbBZFjjGgGUA6NLw09EwE0CqkOc4q9oUmW1yo/edit?usp=sharing"",""เชียงใหม่!M305"")"),13970)</f>
        <v>13970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IFERROR(__xludf.DUMMYFUNCTION("IMPORTRANGE(""https://docs.google.com/spreadsheets/d/11923uPwbBZFjjGgGUA6NLw09EwE0CqkOc4q9oUmW1yo/edit?usp=sharing"",""เชียงใหม่!M330"")"),38905)</f>
        <v>38905</v>
      </c>
      <c r="O435" s="411">
        <f t="shared" ref="O435:O439" ca="1" si="114">+IF(L435&gt;0,N435*100/L435,0)</f>
        <v>38.905000000000001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IFERROR(__xludf.DUMMYFUNCTION("IMPORTRANGE(""https://docs.google.com/spreadsheets/d/11923uPwbBZFjjGgGUA6NLw09EwE0CqkOc4q9oUmW1yo/edit?usp=sharing"",""เชียงใหม่!M332"")"),38905)</f>
        <v>38905</v>
      </c>
      <c r="O437" s="168">
        <f t="shared" ca="1" si="114"/>
        <v>38.905000000000001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IFERROR(__xludf.DUMMYFUNCTION("IMPORTRANGE(""https://docs.google.com/spreadsheets/d/11923uPwbBZFjjGgGUA6NLw09EwE0CqkOc4q9oUmW1yo/edit?usp=sharing"",""เชียงใหม่!M334"")"),38905)</f>
        <v>38905</v>
      </c>
      <c r="O439" s="168">
        <f t="shared" ca="1" si="114"/>
        <v>38.905000000000001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IFERROR(__xludf.DUMMYFUNCTION("IMPORTRANGE(""https://docs.google.com/spreadsheets/d/11923uPwbBZFjjGgGUA6NLw09EwE0CqkOc4q9oUmW1yo/edit?usp=sharing"",""เชียงใหม่!M335"")"),22395)</f>
        <v>22395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IFERROR(__xludf.DUMMYFUNCTION("IMPORTRANGE(""https://docs.google.com/spreadsheets/d/11923uPwbBZFjjGgGUA6NLw09EwE0CqkOc4q9oUmW1yo/edit?usp=sharing"",""เชียงใหม่!M338"")"),16510)</f>
        <v>16510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IFERROR(__xludf.DUMMYFUNCTION("IMPORTRANGE(""https://docs.google.com/spreadsheets/d/11923uPwbBZFjjGgGUA6NLw09EwE0CqkOc4q9oUmW1yo/edit?usp=sharing"",""เชียงใหม่!J350"")"),9322)</f>
        <v>9322</v>
      </c>
      <c r="K455" s="371">
        <f ca="1">IF(I455&gt;0,J455*100/I455,0)</f>
        <v>47.886166332768276</v>
      </c>
      <c r="L455" s="372">
        <f ca="1">IFERROR(__xludf.DUMMYFUNCTION("IMPORTRANGE(""https://docs.google.com/spreadsheets/d/11923uPwbBZFjjGgGUA6NLw09EwE0CqkOc4q9oUmW1yo/edit?usp=sharing"",""เชียงใหม่!L350"")"),520639)</f>
        <v>520639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IFERROR(__xludf.DUMMYFUNCTION("IMPORTRANGE(""https://docs.google.com/spreadsheets/d/11923uPwbBZFjjGgGUA6NLw09EwE0CqkOc4q9oUmW1yo/edit?usp=sharing"",""เชียงใหม่!M350"")"),255904.91)</f>
        <v>255904.91</v>
      </c>
      <c r="O455" s="372">
        <f t="shared" ref="O455:O459" ca="1" si="116">+IF(L455&gt;0,N455*100/L455,0)</f>
        <v>49.152082344964555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IFERROR(__xludf.DUMMYFUNCTION("IMPORTRANGE(""https://docs.google.com/spreadsheets/d/11923uPwbBZFjjGgGUA6NLw09EwE0CqkOc4q9oUmW1yo/edit?usp=sharing"",""เชียงใหม่!L352"")"),520639)</f>
        <v>520639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IFERROR(__xludf.DUMMYFUNCTION("IMPORTRANGE(""https://docs.google.com/spreadsheets/d/11923uPwbBZFjjGgGUA6NLw09EwE0CqkOc4q9oUmW1yo/edit?usp=sharing"",""เชียงใหม่!M352"")"),255904.91)</f>
        <v>255904.91</v>
      </c>
      <c r="O457" s="168">
        <f t="shared" ca="1" si="116"/>
        <v>49.152082344964555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IFERROR(__xludf.DUMMYFUNCTION("IMPORTRANGE(""https://docs.google.com/spreadsheets/d/11923uPwbBZFjjGgGUA6NLw09EwE0CqkOc4q9oUmW1yo/edit?usp=sharing"",""เชียงใหม่!L354"")"),520639)</f>
        <v>520639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IFERROR(__xludf.DUMMYFUNCTION("IMPORTRANGE(""https://docs.google.com/spreadsheets/d/11923uPwbBZFjjGgGUA6NLw09EwE0CqkOc4q9oUmW1yo/edit?usp=sharing"",""เชียงใหม่!M354"")"),255904.91)</f>
        <v>255904.91</v>
      </c>
      <c r="O459" s="168">
        <f t="shared" ca="1" si="116"/>
        <v>49.152082344964555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IFERROR(__xludf.DUMMYFUNCTION("IMPORTRANGE(""https://docs.google.com/spreadsheets/d/11923uPwbBZFjjGgGUA6NLw09EwE0CqkOc4q9oUmW1yo/edit?usp=sharing"",""เชียงใหม่!M357"")"),85858.91)</f>
        <v>85858.91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IFERROR(__xludf.DUMMYFUNCTION("IMPORTRANGE(""https://docs.google.com/spreadsheets/d/11923uPwbBZFjjGgGUA6NLw09EwE0CqkOc4q9oUmW1yo/edit?usp=sharing"",""เชียงใหม่!M358"")"),170046)</f>
        <v>170046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IFERROR(__xludf.DUMMYFUNCTION("IMPORTRANGE(""https://docs.google.com/spreadsheets/d/11923uPwbBZFjjGgGUA6NLw09EwE0CqkOc4q9oUmW1yo/edit?usp=sharing"",""เชียงใหม่!J359"")"),9322)</f>
        <v>9322</v>
      </c>
      <c r="K464" s="268">
        <f t="shared" ref="K464:K515" ca="1" si="117">IF(I464&gt;0,J464*100/I464,0)</f>
        <v>47.886166332768276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IFERROR(__xludf.DUMMYFUNCTION("IMPORTRANGE(""https://docs.google.com/spreadsheets/d/11923uPwbBZFjjGgGUA6NLw09EwE0CqkOc4q9oUmW1yo/edit?usp=sharing"",""เชียงใหม่!J376"")"),9322)</f>
        <v>9322</v>
      </c>
      <c r="K481" s="201">
        <f t="shared" ca="1" si="117"/>
        <v>47.886166332768276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IFERROR(__xludf.DUMMYFUNCTION("IMPORTRANGE(""https://docs.google.com/spreadsheets/d/11923uPwbBZFjjGgGUA6NLw09EwE0CqkOc4q9oUmW1yo/edit?usp=sharing"",""เชียงใหม่!J377"")"),2393)</f>
        <v>2393</v>
      </c>
      <c r="K482" s="201">
        <f t="shared" ca="1" si="117"/>
        <v>54.460628129267185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IFERROR(__xludf.DUMMYFUNCTION("IMPORTRANGE(""https://docs.google.com/spreadsheets/d/11923uPwbBZFjjGgGUA6NLw09EwE0CqkOc4q9oUmW1yo/edit?usp=sharing"",""เชียงใหม่!J378"")"),9322)</f>
        <v>9322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IFERROR(__xludf.DUMMYFUNCTION("IMPORTRANGE(""https://docs.google.com/spreadsheets/d/11923uPwbBZFjjGgGUA6NLw09EwE0CqkOc4q9oUmW1yo/edit?usp=sharing"",""เชียงใหม่!J379"")"),2393)</f>
        <v>2393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IFERROR(__xludf.DUMMYFUNCTION("IMPORTRANGE(""https://docs.google.com/spreadsheets/d/11923uPwbBZFjjGgGUA6NLw09EwE0CqkOc4q9oUmW1yo/edit?usp=sharing"",""เชียงใหม่!J392"")"),3473.1)</f>
        <v>3473.1</v>
      </c>
      <c r="K497" s="444">
        <f t="shared" ca="1" si="117"/>
        <v>68.220388921626395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IFERROR(__xludf.DUMMYFUNCTION("IMPORTRANGE(""https://docs.google.com/spreadsheets/d/11923uPwbBZFjjGgGUA6NLw09EwE0CqkOc4q9oUmW1yo/edit?usp=sharing"",""เชียงใหม่!J393"")"),3473.1)</f>
        <v>3473.1</v>
      </c>
      <c r="K498" s="201">
        <f t="shared" ca="1" si="117"/>
        <v>68.220388921626395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IFERROR(__xludf.DUMMYFUNCTION("IMPORTRANGE(""https://docs.google.com/spreadsheets/d/11923uPwbBZFjjGgGUA6NLw09EwE0CqkOc4q9oUmW1yo/edit?usp=sharing"",""เชียงใหม่!J394"")"),366)</f>
        <v>366</v>
      </c>
      <c r="K499" s="201">
        <f t="shared" ca="1" si="117"/>
        <v>58.187599364069953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IFERROR(__xludf.DUMMYFUNCTION("IMPORTRANGE(""https://docs.google.com/spreadsheets/d/11923uPwbBZFjjGgGUA6NLw09EwE0CqkOc4q9oUmW1yo/edit?usp=sharing"",""เชียงใหม่!J395"")"),3159)</f>
        <v>3159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IFERROR(__xludf.DUMMYFUNCTION("IMPORTRANGE(""https://docs.google.com/spreadsheets/d/11923uPwbBZFjjGgGUA6NLw09EwE0CqkOc4q9oUmW1yo/edit?usp=sharing"",""เชียงใหม่!J396"")"),336)</f>
        <v>336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IFERROR(__xludf.DUMMYFUNCTION("IMPORTRANGE(""https://docs.google.com/spreadsheets/d/11923uPwbBZFjjGgGUA6NLw09EwE0CqkOc4q9oUmW1yo/edit?usp=sharing"",""เชียงใหม่!J397"")"),487)</f>
        <v>487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IFERROR(__xludf.DUMMYFUNCTION("IMPORTRANGE(""https://docs.google.com/spreadsheets/d/11923uPwbBZFjjGgGUA6NLw09EwE0CqkOc4q9oUmW1yo/edit?usp=sharing"",""เชียงใหม่!J398"")"),42)</f>
        <v>42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IFERROR(__xludf.DUMMYFUNCTION("IMPORTRANGE(""https://docs.google.com/spreadsheets/d/11923uPwbBZFjjGgGUA6NLw09EwE0CqkOc4q9oUmW1yo/edit?usp=sharing"",""เชียงใหม่!J399"")"),2672)</f>
        <v>2672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IFERROR(__xludf.DUMMYFUNCTION("IMPORTRANGE(""https://docs.google.com/spreadsheets/d/11923uPwbBZFjjGgGUA6NLw09EwE0CqkOc4q9oUmW1yo/edit?usp=sharing"",""เชียงใหม่!J400"")"),294)</f>
        <v>294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IFERROR(__xludf.DUMMYFUNCTION("IMPORTRANGE(""https://docs.google.com/spreadsheets/d/11923uPwbBZFjjGgGUA6NLw09EwE0CqkOc4q9oUmW1yo/edit?usp=sharing"",""เชียงใหม่!J403"")"),13.1)</f>
        <v>13.1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IFERROR(__xludf.DUMMYFUNCTION("IMPORTRANGE(""https://docs.google.com/spreadsheets/d/11923uPwbBZFjjGgGUA6NLw09EwE0CqkOc4q9oUmW1yo/edit?usp=sharing"",""เชียงใหม่!J404"")"),6)</f>
        <v>6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1">
        <f ca="1">IFERROR(__xludf.DUMMYFUNCTION("IMPORTRANGE(""https://docs.google.com/spreadsheets/d/11923uPwbBZFjjGgGUA6NLw09EwE0CqkOc4q9oUmW1yo/edit?usp=sharing"",""เชียงใหม่!J405"")"),0.1)</f>
        <v>0.1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IFERROR(__xludf.DUMMYFUNCTION("IMPORTRANGE(""https://docs.google.com/spreadsheets/d/11923uPwbBZFjjGgGUA6NLw09EwE0CqkOc4q9oUmW1yo/edit?usp=sharing"",""เชียงใหม่!J409"")"),301)</f>
        <v>301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IFERROR(__xludf.DUMMYFUNCTION("IMPORTRANGE(""https://docs.google.com/spreadsheets/d/11923uPwbBZFjjGgGUA6NLw09EwE0CqkOc4q9oUmW1yo/edit?usp=sharing"",""เชียงใหม่!J410"")"),24)</f>
        <v>24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IFERROR(__xludf.DUMMYFUNCTION("IMPORTRANGE(""https://docs.google.com/spreadsheets/d/11923uPwbBZFjjGgGUA6NLw09EwE0CqkOc4q9oUmW1yo/edit?usp=sharing"",""เชียงใหม่!M428"")"),26444)</f>
        <v>26444</v>
      </c>
      <c r="O533" s="411">
        <f t="shared" ref="O533:O537" ca="1" si="118">+IF(L533&gt;0,N533*100/L533,0)</f>
        <v>70.068892421833596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IFERROR(__xludf.DUMMYFUNCTION("IMPORTRANGE(""https://docs.google.com/spreadsheets/d/11923uPwbBZFjjGgGUA6NLw09EwE0CqkOc4q9oUmW1yo/edit?usp=sharing"",""เชียงใหม่!M430"")"),26444)</f>
        <v>26444</v>
      </c>
      <c r="O535" s="168">
        <f t="shared" ca="1" si="118"/>
        <v>70.068892421833596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IFERROR(__xludf.DUMMYFUNCTION("IMPORTRANGE(""https://docs.google.com/spreadsheets/d/11923uPwbBZFjjGgGUA6NLw09EwE0CqkOc4q9oUmW1yo/edit?usp=sharing"",""เชียงใหม่!M432"")"),26444)</f>
        <v>26444</v>
      </c>
      <c r="O537" s="168">
        <f t="shared" ca="1" si="118"/>
        <v>70.068892421833596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IFERROR(__xludf.DUMMYFUNCTION("IMPORTRANGE(""https://docs.google.com/spreadsheets/d/11923uPwbBZFjjGgGUA6NLw09EwE0CqkOc4q9oUmW1yo/edit?usp=sharing"",""เชียงใหม่!M436"")"),5540)</f>
        <v>5540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IFERROR(__xludf.DUMMYFUNCTION("IMPORTRANGE(""https://docs.google.com/spreadsheets/d/11923uPwbBZFjjGgGUA6NLw09EwE0CqkOc4q9oUmW1yo/edit?usp=sharing"",""เชียงใหม่!J446"")"),1680)</f>
        <v>1680</v>
      </c>
      <c r="K551" s="410">
        <f ca="1">IF(I551&gt;0,J551*100/I551,0)</f>
        <v>56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IFERROR(__xludf.DUMMYFUNCTION("IMPORTRANGE(""https://docs.google.com/spreadsheets/d/11923uPwbBZFjjGgGUA6NLw09EwE0CqkOc4q9oUmW1yo/edit?usp=sharing"",""เชียงใหม่!M446"")"),101015.019999999)</f>
        <v>101015.019999999</v>
      </c>
      <c r="O551" s="411">
        <f t="shared" ref="O551:O555" ca="1" si="120">+IF(L551&gt;0,N551*100/L551,0)</f>
        <v>53.731393617020743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IFERROR(__xludf.DUMMYFUNCTION("IMPORTRANGE(""https://docs.google.com/spreadsheets/d/11923uPwbBZFjjGgGUA6NLw09EwE0CqkOc4q9oUmW1yo/edit?usp=sharing"",""เชียงใหม่!M448"")"),101015.019999999)</f>
        <v>101015.019999999</v>
      </c>
      <c r="O553" s="168">
        <f t="shared" ca="1" si="120"/>
        <v>53.731393617020743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IFERROR(__xludf.DUMMYFUNCTION("IMPORTRANGE(""https://docs.google.com/spreadsheets/d/11923uPwbBZFjjGgGUA6NLw09EwE0CqkOc4q9oUmW1yo/edit?usp=sharing"",""เชียงใหม่!M450"")"),101015.019999999)</f>
        <v>101015.019999999</v>
      </c>
      <c r="O555" s="168">
        <f t="shared" ca="1" si="120"/>
        <v>53.731393617020743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IFERROR(__xludf.DUMMYFUNCTION("IMPORTRANGE(""https://docs.google.com/spreadsheets/d/11923uPwbBZFjjGgGUA6NLw09EwE0CqkOc4q9oUmW1yo/edit?usp=sharing"",""เชียงใหม่!M453"")"),40000)</f>
        <v>40000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IFERROR(__xludf.DUMMYFUNCTION("IMPORTRANGE(""https://docs.google.com/spreadsheets/d/11923uPwbBZFjjGgGUA6NLw09EwE0CqkOc4q9oUmW1yo/edit?usp=sharing"",""เชียงใหม่!M454"")"),61015.02)</f>
        <v>61015.02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IFERROR(__xludf.DUMMYFUNCTION("IMPORTRANGE(""https://docs.google.com/spreadsheets/d/11923uPwbBZFjjGgGUA6NLw09EwE0CqkOc4q9oUmW1yo/edit?usp=sharing"",""เชียงใหม่!J455"")"),1680)</f>
        <v>1680</v>
      </c>
      <c r="K560" s="224">
        <f t="shared" ref="K560:K561" ca="1" si="121">IF(I560&gt;0,J560*100/I560,0)</f>
        <v>56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IFERROR(__xludf.DUMMYFUNCTION("IMPORTRANGE(""https://docs.google.com/spreadsheets/d/11923uPwbBZFjjGgGUA6NLw09EwE0CqkOc4q9oUmW1yo/edit?usp=sharing"",""เชียงใหม่!J456"")"),331)</f>
        <v>331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IFERROR(__xludf.DUMMYFUNCTION("IMPORTRANGE(""https://docs.google.com/spreadsheets/d/11923uPwbBZFjjGgGUA6NLw09EwE0CqkOc4q9oUmW1yo/edit?usp=sharing"",""เชียงใหม่!J459"")"),1074)</f>
        <v>1074</v>
      </c>
      <c r="K564" s="371">
        <f ca="1">IF(I564&gt;0,J564*100/I564,0)</f>
        <v>107.4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IFERROR(__xludf.DUMMYFUNCTION("IMPORTRANGE(""https://docs.google.com/spreadsheets/d/11923uPwbBZFjjGgGUA6NLw09EwE0CqkOc4q9oUmW1yo/edit?usp=sharing"",""เชียงใหม่!M459"")"),60295.24)</f>
        <v>60295.24</v>
      </c>
      <c r="O564" s="372">
        <f t="shared" ref="O564:O568" ca="1" si="122">+IF(L564&gt;0,N564*100/L564,0)</f>
        <v>46.069101466992663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IFERROR(__xludf.DUMMYFUNCTION("IMPORTRANGE(""https://docs.google.com/spreadsheets/d/11923uPwbBZFjjGgGUA6NLw09EwE0CqkOc4q9oUmW1yo/edit?usp=sharing"",""เชียงใหม่!M461"")"),60295.24)</f>
        <v>60295.24</v>
      </c>
      <c r="O566" s="168">
        <f t="shared" ca="1" si="122"/>
        <v>46.069101466992663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IFERROR(__xludf.DUMMYFUNCTION("IMPORTRANGE(""https://docs.google.com/spreadsheets/d/11923uPwbBZFjjGgGUA6NLw09EwE0CqkOc4q9oUmW1yo/edit?usp=sharing"",""เชียงใหม่!M463"")"),60295.24)</f>
        <v>60295.24</v>
      </c>
      <c r="O568" s="168">
        <f t="shared" ca="1" si="122"/>
        <v>46.069101466992663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IFERROR(__xludf.DUMMYFUNCTION("IMPORTRANGE(""https://docs.google.com/spreadsheets/d/11923uPwbBZFjjGgGUA6NLw09EwE0CqkOc4q9oUmW1yo/edit?usp=sharing"",""เชียงใหม่!M466"")"),53935.24)</f>
        <v>53935.24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IFERROR(__xludf.DUMMYFUNCTION("IMPORTRANGE(""https://docs.google.com/spreadsheets/d/11923uPwbBZFjjGgGUA6NLw09EwE0CqkOc4q9oUmW1yo/edit?usp=sharing"",""เชียงใหม่!M467"")"),6360)</f>
        <v>6360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IFERROR(__xludf.DUMMYFUNCTION("IMPORTRANGE(""https://docs.google.com/spreadsheets/d/11923uPwbBZFjjGgGUA6NLw09EwE0CqkOc4q9oUmW1yo/edit?usp=sharing"",""เชียงใหม่!J468"")"),1074)</f>
        <v>1074</v>
      </c>
      <c r="K573" s="201">
        <f ca="1">IF(I573&gt;0,J573*100/I573,0)</f>
        <v>107.4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IFERROR(__xludf.DUMMYFUNCTION("IMPORTRANGE(""https://docs.google.com/spreadsheets/d/11923uPwbBZFjjGgGUA6NLw09EwE0CqkOc4q9oUmW1yo/edit?usp=sharing"",""เชียงใหม่!J471"")"),153)</f>
        <v>153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IFERROR(__xludf.DUMMYFUNCTION("IMPORTRANGE(""https://docs.google.com/spreadsheets/d/11923uPwbBZFjjGgGUA6NLw09EwE0CqkOc4q9oUmW1yo/edit?usp=sharing"",""เชียงใหม่!J472"")"),891)</f>
        <v>891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IFERROR(__xludf.DUMMYFUNCTION("IMPORTRANGE(""https://docs.google.com/spreadsheets/d/11923uPwbBZFjjGgGUA6NLw09EwE0CqkOc4q9oUmW1yo/edit?usp=sharing"",""เชียงใหม่!J474"")"),29)</f>
        <v>29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IFERROR(__xludf.DUMMYFUNCTION("IMPORTRANGE(""https://docs.google.com/spreadsheets/d/11923uPwbBZFjjGgGUA6NLw09EwE0CqkOc4q9oUmW1yo/edit?usp=sharing"",""เชียงใหม่!L475"")"),153230)</f>
        <v>153230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7.126541799908634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IFERROR(__xludf.DUMMYFUNCTION("IMPORTRANGE(""https://docs.google.com/spreadsheets/d/11923uPwbBZFjjGgGUA6NLw09EwE0CqkOc4q9oUmW1yo/edit?usp=sharing"",""เชียงใหม่!L477"")"),153230)</f>
        <v>153230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7.126541799908634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IFERROR(__xludf.DUMMYFUNCTION("IMPORTRANGE(""https://docs.google.com/spreadsheets/d/11923uPwbBZFjjGgGUA6NLw09EwE0CqkOc4q9oUmW1yo/edit?usp=sharing"",""เชียงใหม่!L479"")"),153230)</f>
        <v>153230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7.126541799908634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IFERROR(__xludf.DUMMYFUNCTION("IMPORTRANGE(""https://docs.google.com/spreadsheets/d/11923uPwbBZFjjGgGUA6NLw09EwE0CqkOc4q9oUmW1yo/edit?usp=sharing"",""เชียงใหม่!J484"")"),32)</f>
        <v>32</v>
      </c>
      <c r="K589" s="163">
        <f t="shared" ref="K589:K596" ca="1" si="125">IF(I589&gt;0,J589*100/I589,0)</f>
        <v>106.66666666666667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IFERROR(__xludf.DUMMYFUNCTION("IMPORTRANGE(""https://docs.google.com/spreadsheets/d/11923uPwbBZFjjGgGUA6NLw09EwE0CqkOc4q9oUmW1yo/edit?usp=sharing"",""เชียงใหม่!J485"")"),13.38)</f>
        <v>13.38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IFERROR(__xludf.DUMMYFUNCTION("IMPORTRANGE(""https://docs.google.com/spreadsheets/d/11923uPwbBZFjjGgGUA6NLw09EwE0CqkOc4q9oUmW1yo/edit?usp=sharing"",""เชียงใหม่!J486"")"),14)</f>
        <v>14</v>
      </c>
      <c r="K591" s="163">
        <f t="shared" ca="1" si="125"/>
        <v>46.666666666666664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IFERROR(__xludf.DUMMYFUNCTION("IMPORTRANGE(""https://docs.google.com/spreadsheets/d/11923uPwbBZFjjGgGUA6NLw09EwE0CqkOc4q9oUmW1yo/edit?usp=sharing"",""เชียงใหม่!J487"")"),4.83)</f>
        <v>4.83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7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IFERROR(__xludf.DUMMYFUNCTION("IMPORTRANGE(""https://docs.google.com/spreadsheets/d/11923uPwbBZFjjGgGUA6NLw09EwE0CqkOc4q9oUmW1yo/edit?usp=sharing"",""เชียงใหม่!J523"")"),2098022.84)</f>
        <v>2098022.84</v>
      </c>
      <c r="K628" s="342">
        <f t="shared" ref="K628:K635" ca="1" si="129">IF(I628&gt;0,J628*100/I628,0)</f>
        <v>75.839152533229296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IFERROR(__xludf.DUMMYFUNCTION("IMPORTRANGE(""https://docs.google.com/spreadsheets/d/11923uPwbBZFjjGgGUA6NLw09EwE0CqkOc4q9oUmW1yo/edit?usp=sharing"",""เชียงใหม่!J524"")"),103)</f>
        <v>103</v>
      </c>
      <c r="K629" s="342">
        <f t="shared" ca="1" si="129"/>
        <v>64.779874213836479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IFERROR(__xludf.DUMMYFUNCTION("IMPORTRANGE(""https://docs.google.com/spreadsheets/d/11923uPwbBZFjjGgGUA6NLw09EwE0CqkOc4q9oUmW1yo/edit?usp=sharing"",""เชียงใหม่!J525"")"),63984.48)</f>
        <v>63984.480000000003</v>
      </c>
      <c r="K630" s="342">
        <f t="shared" ca="1" si="129"/>
        <v>10.04762204842913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IFERROR(__xludf.DUMMYFUNCTION("IMPORTRANGE(""https://docs.google.com/spreadsheets/d/11923uPwbBZFjjGgGUA6NLw09EwE0CqkOc4q9oUmW1yo/edit?usp=sharing"",""เชียงใหม่!J526"")"),26)</f>
        <v>26</v>
      </c>
      <c r="K631" s="342">
        <f t="shared" ca="1" si="129"/>
        <v>63.414634146341463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IFERROR(__xludf.DUMMYFUNCTION("IMPORTRANGE(""https://docs.google.com/spreadsheets/d/11923uPwbBZFjjGgGUA6NLw09EwE0CqkOc4q9oUmW1yo/edit?usp=sharing"",""เชียงใหม่!J527"")"),26826.25)</f>
        <v>26826.25</v>
      </c>
      <c r="K632" s="342">
        <f t="shared" ca="1" si="129"/>
        <v>26.597543046848756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IFERROR(__xludf.DUMMYFUNCTION("IMPORTRANGE(""https://docs.google.com/spreadsheets/d/11923uPwbBZFjjGgGUA6NLw09EwE0CqkOc4q9oUmW1yo/edit?usp=sharing"",""เชียงใหม่!J528"")"),16)</f>
        <v>16</v>
      </c>
      <c r="K633" s="342">
        <f t="shared" ca="1" si="129"/>
        <v>69.565217391304344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IFERROR(__xludf.DUMMYFUNCTION("IMPORTRANGE(""https://docs.google.com/spreadsheets/d/11923uPwbBZFjjGgGUA6NLw09EwE0CqkOc4q9oUmW1yo/edit?usp=sharing"",""เชียงใหม่!I530"")"),63)</f>
        <v>63</v>
      </c>
      <c r="J635" s="504">
        <f ca="1">IFERROR(__xludf.DUMMYFUNCTION("IMPORTRANGE(""https://docs.google.com/spreadsheets/d/11923uPwbBZFjjGgGUA6NLw09EwE0CqkOc4q9oUmW1yo/edit?usp=sharing"",""เชียงใหม่!J530"")"),69)</f>
        <v>69</v>
      </c>
      <c r="K635" s="486">
        <f t="shared" ca="1" si="129"/>
        <v>109.52380952380952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5525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5525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5525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IFERROR(__xludf.DUMMYFUNCTION("IMPORTRANGE(""https://docs.google.com/spreadsheets/d/11923uPwbBZFjjGgGUA6NLw09EwE0CqkOc4q9oUmW1yo/edit?usp=sharing"",""เชียงใหม่!J541"")"),1)</f>
        <v>1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IFERROR(__xludf.DUMMYFUNCTION("IMPORTRANGE(""https://docs.google.com/spreadsheets/d/11923uPwbBZFjjGgGUA6NLw09EwE0CqkOc4q9oUmW1yo/edit?usp=sharing"",""เชียงใหม่!J542"")"),0)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IFERROR(__xludf.DUMMYFUNCTION("IMPORTRANGE(""https://docs.google.com/spreadsheets/d/11923uPwbBZFjjGgGUA6NLw09EwE0CqkOc4q9oUmW1yo/edit?usp=sharing"",""เชียงใหม่!I543"")"),0)</f>
        <v>0</v>
      </c>
      <c r="J648" s="535">
        <f ca="1">IFERROR(__xludf.DUMMYFUNCTION("IMPORTRANGE(""https://docs.google.com/spreadsheets/d/11923uPwbBZFjjGgGUA6NLw09EwE0CqkOc4q9oUmW1yo/edit?usp=sharing"",""เชียงใหม่!J543"")"),0)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IFERROR(__xludf.DUMMYFUNCTION("IMPORTRANGE(""https://docs.google.com/spreadsheets/d/11923uPwbBZFjjGgGUA6NLw09EwE0CqkOc4q9oUmW1yo/edit?usp=sharing"",""เชียงใหม่!L543"")"),0)</f>
        <v>0</v>
      </c>
      <c r="M648" s="520"/>
      <c r="N648" s="537">
        <f ca="1">IFERROR(__xludf.DUMMYFUNCTION("IMPORTRANGE(""https://docs.google.com/spreadsheets/d/11923uPwbBZFjjGgGUA6NLw09EwE0CqkOc4q9oUmW1yo/edit?usp=sharing"",""เชียงใหม่!M543"")"),0)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IFERROR(__xludf.DUMMYFUNCTION("IMPORTRANGE(""https://docs.google.com/spreadsheets/d/11923uPwbBZFjjGgGUA6NLw09EwE0CqkOc4q9oUmW1yo/edit?usp=sharing"",""เชียงใหม่!I544"")"),22)</f>
        <v>22</v>
      </c>
      <c r="J649" s="535">
        <f ca="1">IFERROR(__xludf.DUMMYFUNCTION("IMPORTRANGE(""https://docs.google.com/spreadsheets/d/11923uPwbBZFjjGgGUA6NLw09EwE0CqkOc4q9oUmW1yo/edit?usp=sharing"",""เชียงใหม่!J544"")"),0)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IFERROR(__xludf.DUMMYFUNCTION("IMPORTRANGE(""https://docs.google.com/spreadsheets/d/11923uPwbBZFjjGgGUA6NLw09EwE0CqkOc4q9oUmW1yo/edit?usp=sharing"",""เชียงใหม่!L544"")"),2640)</f>
        <v>2640</v>
      </c>
      <c r="M649" s="520"/>
      <c r="N649" s="537">
        <f ca="1">IFERROR(__xludf.DUMMYFUNCTION("IMPORTRANGE(""https://docs.google.com/spreadsheets/d/11923uPwbBZFjjGgGUA6NLw09EwE0CqkOc4q9oUmW1yo/edit?usp=sharing"",""เชียงใหม่!M544"")"),0)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IFERROR(__xludf.DUMMYFUNCTION("IMPORTRANGE(""https://docs.google.com/spreadsheets/d/11923uPwbBZFjjGgGUA6NLw09EwE0CqkOc4q9oUmW1yo/edit?usp=sharing"",""เชียงใหม่!I545"")"),0)</f>
        <v>0</v>
      </c>
      <c r="J650" s="535">
        <f ca="1">IFERROR(__xludf.DUMMYFUNCTION("IMPORTRANGE(""https://docs.google.com/spreadsheets/d/11923uPwbBZFjjGgGUA6NLw09EwE0CqkOc4q9oUmW1yo/edit?usp=sharing"",""เชียงใหม่!J545"")"),0)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IFERROR(__xludf.DUMMYFUNCTION("IMPORTRANGE(""https://docs.google.com/spreadsheets/d/11923uPwbBZFjjGgGUA6NLw09EwE0CqkOc4q9oUmW1yo/edit?usp=sharing"",""เชียงใหม่!L545"")"),0)</f>
        <v>0</v>
      </c>
      <c r="M650" s="520"/>
      <c r="N650" s="537">
        <f ca="1">IFERROR(__xludf.DUMMYFUNCTION("IMPORTRANGE(""https://docs.google.com/spreadsheets/d/11923uPwbBZFjjGgGUA6NLw09EwE0CqkOc4q9oUmW1yo/edit?usp=sharing"",""เชียงใหม่!M545"")"),0)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IFERROR(__xludf.DUMMYFUNCTION("IMPORTRANGE(""https://docs.google.com/spreadsheets/d/11923uPwbBZFjjGgGUA6NLw09EwE0CqkOc4q9oUmW1yo/edit?usp=sharing"",""เชียงใหม่!I546"")"),101)</f>
        <v>101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IFERROR(__xludf.DUMMYFUNCTION("IMPORTRANGE(""https://docs.google.com/spreadsheets/d/11923uPwbBZFjjGgGUA6NLw09EwE0CqkOc4q9oUmW1yo/edit?usp=sharing"",""เชียงใหม่!L546"")"),2525)</f>
        <v>2525</v>
      </c>
      <c r="M651" s="520"/>
      <c r="N651" s="537">
        <f ca="1">IFERROR(__xludf.DUMMYFUNCTION("IMPORTRANGE(""https://docs.google.com/spreadsheets/d/11923uPwbBZFjjGgGUA6NLw09EwE0CqkOc4q9oUmW1yo/edit?usp=sharing"",""เชียงใหม่!M546"")"),0)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IFERROR(__xludf.DUMMYFUNCTION("IMPORTRANGE(""https://docs.google.com/spreadsheets/d/11923uPwbBZFjjGgGUA6NLw09EwE0CqkOc4q9oUmW1yo/edit?usp=sharing"",""เชียงใหม่!J547"")"),0)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IFERROR(__xludf.DUMMYFUNCTION("IMPORTRANGE(""https://docs.google.com/spreadsheets/d/11923uPwbBZFjjGgGUA6NLw09EwE0CqkOc4q9oUmW1yo/edit?usp=sharing"",""เชียงใหม่!J548"")"),0)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IFERROR(__xludf.DUMMYFUNCTION("IMPORTRANGE(""https://docs.google.com/spreadsheets/d/11923uPwbBZFjjGgGUA6NLw09EwE0CqkOc4q9oUmW1yo/edit?usp=sharing"",""เชียงใหม่!J550"")"),0)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IFERROR(__xludf.DUMMYFUNCTION("IMPORTRANGE(""https://docs.google.com/spreadsheets/d/11923uPwbBZFjjGgGUA6NLw09EwE0CqkOc4q9oUmW1yo/edit?usp=sharing"",""เชียงใหม่!J551"")"),0)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IFERROR(__xludf.DUMMYFUNCTION("IMPORTRANGE(""https://docs.google.com/spreadsheets/d/11923uPwbBZFjjGgGUA6NLw09EwE0CqkOc4q9oUmW1yo/edit?usp=sharing"",""เชียงใหม่!J552"")"),0)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IFERROR(__xludf.DUMMYFUNCTION("IMPORTRANGE(""https://docs.google.com/spreadsheets/d/11923uPwbBZFjjGgGUA6NLw09EwE0CqkOc4q9oUmW1yo/edit?usp=sharing"",""เชียงใหม่!J553"")"),0)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IFERROR(__xludf.DUMMYFUNCTION("IMPORTRANGE(""https://docs.google.com/spreadsheets/d/11923uPwbBZFjjGgGUA6NLw09EwE0CqkOc4q9oUmW1yo/edit?usp=sharing"",""เชียงใหม่!J554"")"),0)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IFERROR(__xludf.DUMMYFUNCTION("IMPORTRANGE(""https://docs.google.com/spreadsheets/d/11923uPwbBZFjjGgGUA6NLw09EwE0CqkOc4q9oUmW1yo/edit?usp=sharing"",""เชียงใหม่!J555"")"),0)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IFERROR(__xludf.DUMMYFUNCTION("IMPORTRANGE(""https://docs.google.com/spreadsheets/d/11923uPwbBZFjjGgGUA6NLw09EwE0CqkOc4q9oUmW1yo/edit?usp=sharing"",""เชียงใหม่!J556"")"),0)</f>
        <v>0</v>
      </c>
      <c r="K661" s="536"/>
      <c r="L661" s="521">
        <f ca="1">IFERROR(__xludf.DUMMYFUNCTION("IMPORTRANGE(""https://docs.google.com/spreadsheets/d/11923uPwbBZFjjGgGUA6NLw09EwE0CqkOc4q9oUmW1yo/edit?usp=sharing"",""เชียงใหม่!L556"")"),360)</f>
        <v>360</v>
      </c>
      <c r="M661" s="520"/>
      <c r="N661" s="537">
        <f ca="1">IFERROR(__xludf.DUMMYFUNCTION("IMPORTRANGE(""https://docs.google.com/spreadsheets/d/11923uPwbBZFjjGgGUA6NLw09EwE0CqkOc4q9oUmW1yo/edit?usp=sharing"",""เชียงใหม่!M556"")"),0)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IFERROR(__xludf.DUMMYFUNCTION("IMPORTRANGE(""https://docs.google.com/spreadsheets/d/11923uPwbBZFjjGgGUA6NLw09EwE0CqkOc4q9oUmW1yo/edit?usp=sharing"",""เชียงใหม่!J557"")"),0)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IFERROR(__xludf.DUMMYFUNCTION("IMPORTRANGE(""https://docs.google.com/spreadsheets/d/11923uPwbBZFjjGgGUA6NLw09EwE0CqkOc4q9oUmW1yo/edit?usp=sharing"",""เชียงใหม่!I558"")"),9)</f>
        <v>9</v>
      </c>
      <c r="J663" s="535">
        <f ca="1">IFERROR(__xludf.DUMMYFUNCTION("IMPORTRANGE(""https://docs.google.com/spreadsheets/d/11923uPwbBZFjjGgGUA6NLw09EwE0CqkOc4q9oUmW1yo/edit?usp=sharing"",""เชียงใหม่!J558"")"),0)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IFERROR(__xludf.DUMMYFUNCTION("IMPORTRANGE(""https://docs.google.com/spreadsheets/d/11923uPwbBZFjjGgGUA6NLw09EwE0CqkOc4q9oUmW1yo/edit?usp=sharing"",""เชียงใหม่!I560"")"),0)</f>
        <v>0</v>
      </c>
      <c r="J665" s="535">
        <f ca="1">IFERROR(__xludf.DUMMYFUNCTION("IMPORTRANGE(""https://docs.google.com/spreadsheets/d/11923uPwbBZFjjGgGUA6NLw09EwE0CqkOc4q9oUmW1yo/edit?usp=sharing"",""เชียงใหม่!J560"")"),0)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IFERROR(__xludf.DUMMYFUNCTION("IMPORTRANGE(""https://docs.google.com/spreadsheets/d/11923uPwbBZFjjGgGUA6NLw09EwE0CqkOc4q9oUmW1yo/edit?usp=sharing"",""เชียงใหม่!L560"")"),0)</f>
        <v>0</v>
      </c>
      <c r="M665" s="520"/>
      <c r="N665" s="537">
        <f ca="1">IFERROR(__xludf.DUMMYFUNCTION("IMPORTRANGE(""https://docs.google.com/spreadsheets/d/11923uPwbBZFjjGgGUA6NLw09EwE0CqkOc4q9oUmW1yo/edit?usp=sharing"",""เชียงใหม่!M560"")"),0)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IFERROR(__xludf.DUMMYFUNCTION("IMPORTRANGE(""https://docs.google.com/spreadsheets/d/11923uPwbBZFjjGgGUA6NLw09EwE0CqkOc4q9oUmW1yo/edit?usp=sharing"",""เชียงใหม่!J561"")"),0)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IFERROR(__xludf.DUMMYFUNCTION("IMPORTRANGE(""https://docs.google.com/spreadsheets/d/11923uPwbBZFjjGgGUA6NLw09EwE0CqkOc4q9oUmW1yo/edit?usp=sharing"",""เชียงใหม่!J562"")"),0)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IFERROR(__xludf.DUMMYFUNCTION("IMPORTRANGE(""https://docs.google.com/spreadsheets/d/11923uPwbBZFjjGgGUA6NLw09EwE0CqkOc4q9oUmW1yo/edit?usp=sharing"",""เชียงใหม่!I563"")"),0)</f>
        <v>0</v>
      </c>
      <c r="J668" s="535">
        <f ca="1">IFERROR(__xludf.DUMMYFUNCTION("IMPORTRANGE(""https://docs.google.com/spreadsheets/d/11923uPwbBZFjjGgGUA6NLw09EwE0CqkOc4q9oUmW1yo/edit?usp=sharing"",""เชียงใหม่!J563"")"),0)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IFERROR(__xludf.DUMMYFUNCTION("IMPORTRANGE(""https://docs.google.com/spreadsheets/d/11923uPwbBZFjjGgGUA6NLw09EwE0CqkOc4q9oUmW1yo/edit?usp=sharing"",""เชียงใหม่!L563"")"),0)</f>
        <v>0</v>
      </c>
      <c r="M668" s="520"/>
      <c r="N668" s="537">
        <f ca="1">IFERROR(__xludf.DUMMYFUNCTION("IMPORTRANGE(""https://docs.google.com/spreadsheets/d/11923uPwbBZFjjGgGUA6NLw09EwE0CqkOc4q9oUmW1yo/edit?usp=sharing"",""เชียงใหม่!M563"")"),0)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IFERROR(__xludf.DUMMYFUNCTION("IMPORTRANGE(""https://docs.google.com/spreadsheets/d/11923uPwbBZFjjGgGUA6NLw09EwE0CqkOc4q9oUmW1yo/edit?usp=sharing"",""เชียงใหม่!J564"")"),0)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IFERROR(__xludf.DUMMYFUNCTION("IMPORTRANGE(""https://docs.google.com/spreadsheets/d/11923uPwbBZFjjGgGUA6NLw09EwE0CqkOc4q9oUmW1yo/edit?usp=sharing"",""เชียงใหม่!J565"")"),0)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IFERROR(__xludf.DUMMYFUNCTION("IMPORTRANGE(""https://docs.google.com/spreadsheets/d/11923uPwbBZFjjGgGUA6NLw09EwE0CqkOc4q9oUmW1yo/edit?usp=sharing"",""เชียงใหม่!I566"")"),0)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IFERROR(__xludf.DUMMYFUNCTION("IMPORTRANGE(""https://docs.google.com/spreadsheets/d/11923uPwbBZFjjGgGUA6NLw09EwE0CqkOc4q9oUmW1yo/edit?usp=sharing"",""เชียงใหม่!L566"")"),0)</f>
        <v>0</v>
      </c>
      <c r="M671" s="520"/>
      <c r="N671" s="537">
        <f ca="1">IFERROR(__xludf.DUMMYFUNCTION("IMPORTRANGE(""https://docs.google.com/spreadsheets/d/11923uPwbBZFjjGgGUA6NLw09EwE0CqkOc4q9oUmW1yo/edit?usp=sharing"",""เชียงใหม่!M566"")"),0)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IFERROR(__xludf.DUMMYFUNCTION("IMPORTRANGE(""https://docs.google.com/spreadsheets/d/11923uPwbBZFjjGgGUA6NLw09EwE0CqkOc4q9oUmW1yo/edit?usp=sharing"",""เชียงใหม่!J567"")"),0)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IFERROR(__xludf.DUMMYFUNCTION("IMPORTRANGE(""https://docs.google.com/spreadsheets/d/11923uPwbBZFjjGgGUA6NLw09EwE0CqkOc4q9oUmW1yo/edit?usp=sharing"",""เชียงใหม่!J568"")"),0)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IFERROR(__xludf.DUMMYFUNCTION("IMPORTRANGE(""https://docs.google.com/spreadsheets/d/11923uPwbBZFjjGgGUA6NLw09EwE0CqkOc4q9oUmW1yo/edit?usp=sharing"",""เชียงใหม่!J569"")"),0)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IFERROR(__xludf.DUMMYFUNCTION("IMPORTRANGE(""https://docs.google.com/spreadsheets/d/11923uPwbBZFjjGgGUA6NLw09EwE0CqkOc4q9oUmW1yo/edit?usp=sharing"",""เชียงใหม่!J570"")"),0)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IFERROR(__xludf.DUMMYFUNCTION("IMPORTRANGE(""https://docs.google.com/spreadsheets/d/11923uPwbBZFjjGgGUA6NLw09EwE0CqkOc4q9oUmW1yo/edit?usp=sharing"",""เชียงใหม่!J571"")"),0)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IFERROR(__xludf.DUMMYFUNCTION("IMPORTRANGE(""https://docs.google.com/spreadsheets/d/11923uPwbBZFjjGgGUA6NLw09EwE0CqkOc4q9oUmW1yo/edit?usp=sharing"",""เชียงใหม่!J572"")"),0)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D297:E297"/>
    <mergeCell ref="D310:G310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21:F21"/>
    <mergeCell ref="D25:E25"/>
    <mergeCell ref="A27:G27"/>
    <mergeCell ref="D28:G28"/>
    <mergeCell ref="D31:F3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A1:P1"/>
    <mergeCell ref="A2:P2"/>
    <mergeCell ref="A3:P3"/>
    <mergeCell ref="F650:G650"/>
    <mergeCell ref="F651:G651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266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4700448</v>
      </c>
      <c r="M8" s="23">
        <f t="shared" ca="1" si="0"/>
        <v>2388260</v>
      </c>
      <c r="N8" s="23">
        <f t="shared" ca="1" si="0"/>
        <v>3163105.27</v>
      </c>
      <c r="O8" s="22">
        <f t="shared" ref="O8:O16" ca="1" si="1">IF(L8&gt;0,N8*100/L8,0)</f>
        <v>67.293697749661305</v>
      </c>
      <c r="P8" s="22">
        <f t="shared" ref="P8:P16" ca="1" si="2">IF(M8&gt;0,N8*100/M8,0)</f>
        <v>132.443924447087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4700448</v>
      </c>
      <c r="M10" s="30">
        <f t="shared" ca="1" si="4"/>
        <v>2388260</v>
      </c>
      <c r="N10" s="30">
        <f t="shared" ca="1" si="4"/>
        <v>3163105.27</v>
      </c>
      <c r="O10" s="29">
        <f t="shared" ca="1" si="1"/>
        <v>67.293697749661305</v>
      </c>
      <c r="P10" s="29">
        <f t="shared" ca="1" si="2"/>
        <v>132.443924447087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4469828</v>
      </c>
      <c r="M12" s="39">
        <f t="shared" ca="1" si="6"/>
        <v>2157640</v>
      </c>
      <c r="N12" s="39">
        <f t="shared" ca="1" si="6"/>
        <v>2932485.27</v>
      </c>
      <c r="O12" s="39">
        <f t="shared" ca="1" si="1"/>
        <v>65.606221760658357</v>
      </c>
      <c r="P12" s="39">
        <f t="shared" ca="1" si="2"/>
        <v>135.91170306445932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2614928</v>
      </c>
      <c r="M14" s="39">
        <f t="shared" si="8"/>
        <v>0</v>
      </c>
      <c r="N14" s="39">
        <f t="shared" ca="1" si="8"/>
        <v>1226209.5</v>
      </c>
      <c r="O14" s="39">
        <f t="shared" ca="1" si="1"/>
        <v>46.892667790470711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2907220</v>
      </c>
      <c r="M18" s="23">
        <f t="shared" ca="1" si="11"/>
        <v>2388260</v>
      </c>
      <c r="N18" s="23">
        <f t="shared" ca="1" si="11"/>
        <v>1936895.77</v>
      </c>
      <c r="O18" s="22">
        <f t="shared" ref="O18:O20" ca="1" si="12">IF(L18&gt;0,N18*100/L18,0)</f>
        <v>66.623639421853184</v>
      </c>
      <c r="P18" s="22">
        <f t="shared" ref="P18:P26" ca="1" si="13">IF(M18&gt;0,N18*100/M18,0)</f>
        <v>81.100708046862565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2907220</v>
      </c>
      <c r="M20" s="30">
        <f t="shared" ca="1" si="15"/>
        <v>2388260</v>
      </c>
      <c r="N20" s="30">
        <f t="shared" ca="1" si="15"/>
        <v>1936895.77</v>
      </c>
      <c r="O20" s="29">
        <f t="shared" ca="1" si="12"/>
        <v>66.623639421853184</v>
      </c>
      <c r="P20" s="29">
        <f t="shared" ca="1" si="13"/>
        <v>81.100708046862565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2676600</v>
      </c>
      <c r="M22" s="42">
        <f t="shared" ca="1" si="18"/>
        <v>2157640</v>
      </c>
      <c r="N22" s="39">
        <f t="shared" ca="1" si="18"/>
        <v>1706275.77</v>
      </c>
      <c r="O22" s="39">
        <f t="shared" ca="1" si="17"/>
        <v>63.747880520062765</v>
      </c>
      <c r="P22" s="39">
        <f t="shared" ca="1" si="13"/>
        <v>79.080651545206806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821700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1226209.5</v>
      </c>
      <c r="O28" s="22">
        <f t="shared" ref="O28:O30" ca="1" si="24">IF(L28&gt;0,N28*100/L28,0)</f>
        <v>68.380010796173153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1226209.5</v>
      </c>
      <c r="O30" s="29">
        <f t="shared" ca="1" si="24"/>
        <v>68.380010796173153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1793228</v>
      </c>
      <c r="M32" s="39">
        <f t="shared" si="30"/>
        <v>0</v>
      </c>
      <c r="N32" s="39">
        <f t="shared" ca="1" si="30"/>
        <v>1226209.5</v>
      </c>
      <c r="O32" s="39">
        <f t="shared" ca="1" si="29"/>
        <v>68.380010796173153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1793228</v>
      </c>
      <c r="M34" s="39">
        <f t="shared" si="32"/>
        <v>0</v>
      </c>
      <c r="N34" s="39">
        <f t="shared" ca="1" si="32"/>
        <v>1226209.5</v>
      </c>
      <c r="O34" s="39">
        <f t="shared" ca="1" si="29"/>
        <v>68.380010796173153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2907220</v>
      </c>
      <c r="M37" s="55">
        <f t="shared" ca="1" si="33"/>
        <v>2388260</v>
      </c>
      <c r="N37" s="55">
        <f t="shared" ca="1" si="33"/>
        <v>1936895.77</v>
      </c>
      <c r="O37" s="56">
        <f t="shared" ca="1" si="29"/>
        <v>66.623639421853184</v>
      </c>
      <c r="P37" s="56">
        <f t="shared" ca="1" si="25"/>
        <v>81.100708046862565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520600</v>
      </c>
      <c r="N41" s="79">
        <f t="shared" ca="1" si="34"/>
        <v>396307.91</v>
      </c>
      <c r="O41" s="78">
        <f t="shared" ref="O41:O43" ca="1" si="35">IF(L41&gt;0,N41*100/L41,0)</f>
        <v>57.096658982855494</v>
      </c>
      <c r="P41" s="78">
        <f t="shared" ref="P41:P43" ca="1" si="36">IF(M41&gt;0,N41*100/M41,0)</f>
        <v>76.125222819823279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520600</v>
      </c>
      <c r="N43" s="79">
        <f t="shared" ca="1" si="38"/>
        <v>396307.91</v>
      </c>
      <c r="O43" s="78">
        <f t="shared" ca="1" si="35"/>
        <v>57.096658982855494</v>
      </c>
      <c r="P43" s="78">
        <f t="shared" ca="1" si="36"/>
        <v>76.125222819823279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IFERROR(__xludf.DUMMYFUNCTION("IMPORTRANGE(""https://docs.google.com/spreadsheets/d/1Yj_ptqi66GCucihVvJfMjLAmec39IyEx_6qawtMGysU/edit?usp=sharing"",""สบก!Q23"")"),520600)</f>
        <v>520600</v>
      </c>
      <c r="N45" s="50">
        <f ca="1">IFERROR(__xludf.DUMMYFUNCTION("IMPORTRANGE(""https://docs.google.com/spreadsheets/d/1Yj_ptqi66GCucihVvJfMjLAmec39IyEx_6qawtMGysU/edit?usp=sharing"",""สบก!R23"")"),396307.91)</f>
        <v>396307.91</v>
      </c>
      <c r="O45" s="39">
        <f ca="1">IF(L45&gt;0,N45*100/L45,0)</f>
        <v>57.096658982855494</v>
      </c>
      <c r="P45" s="39">
        <f ca="1">IF(M45&gt;0,N45*100/M45,0)</f>
        <v>76.125222819823279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328860</v>
      </c>
      <c r="N53" s="121">
        <f t="shared" ca="1" si="39"/>
        <v>291113</v>
      </c>
      <c r="O53" s="120">
        <f t="shared" ref="O53:O55" ca="1" si="40">IF(L53&gt;0,N53*100/L53,0)</f>
        <v>72.77825</v>
      </c>
      <c r="P53" s="120">
        <f t="shared" ref="P53:P55" ca="1" si="41">IF(M53&gt;0,N53*100/M53,0)</f>
        <v>88.521863406920872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328860</v>
      </c>
      <c r="N55" s="121">
        <f t="shared" ca="1" si="43"/>
        <v>291113</v>
      </c>
      <c r="O55" s="120">
        <f t="shared" ca="1" si="40"/>
        <v>72.77825</v>
      </c>
      <c r="P55" s="120">
        <f t="shared" ca="1" si="41"/>
        <v>88.521863406920872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IFERROR(__xludf.DUMMYFUNCTION("IMPORTRANGE(""https://docs.google.com/spreadsheets/d/1Yj_ptqi66GCucihVvJfMjLAmec39IyEx_6qawtMGysU/edit?usp=sharing"",""สบก!Z23"")"),328860)</f>
        <v>328860</v>
      </c>
      <c r="N57" s="50">
        <f ca="1">IFERROR(__xludf.DUMMYFUNCTION("IMPORTRANGE(""https://docs.google.com/spreadsheets/d/1Yj_ptqi66GCucihVvJfMjLAmec39IyEx_6qawtMGysU/edit?usp=sharing"",""สบก!AA23"")"),291113)</f>
        <v>291113</v>
      </c>
      <c r="O57" s="39">
        <f ca="1">IF(L57&gt;0,N57*100/L57,0)</f>
        <v>72.77825</v>
      </c>
      <c r="P57" s="39">
        <f ca="1">IF(M57&gt;0,N57*100/M57,0)</f>
        <v>88.521863406920872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164338</v>
      </c>
      <c r="O94" s="151">
        <f t="shared" ref="O94:O96" ca="1" si="53">IF(L94&gt;0,N94*100/L94,0)</f>
        <v>76.614452214452214</v>
      </c>
      <c r="P94" s="151">
        <f t="shared" ref="P94:P96" ca="1" si="54">IF(M94&gt;0,N94*100/M94,0)</f>
        <v>84.512097914684631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164338</v>
      </c>
      <c r="O96" s="156">
        <f t="shared" ca="1" si="53"/>
        <v>76.614452214452214</v>
      </c>
      <c r="P96" s="156">
        <f t="shared" ca="1" si="54"/>
        <v>84.512097914684631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IFERROR(__xludf.DUMMYFUNCTION("IMPORTRANGE(""https://docs.google.com/spreadsheets/d/1Yj_ptqi66GCucihVvJfMjLAmec39IyEx_6qawtMGysU/edit?usp=sharing"",""สบก!AR23"")"),102055)</f>
        <v>102055</v>
      </c>
      <c r="N98" s="168">
        <f ca="1">IFERROR(__xludf.DUMMYFUNCTION("IMPORTRANGE(""https://docs.google.com/spreadsheets/d/1Yj_ptqi66GCucihVvJfMjLAmec39IyEx_6qawtMGysU/edit?usp=sharing"",""สบก!AS23"")"),71938)</f>
        <v>71938</v>
      </c>
      <c r="O98" s="168">
        <f ca="1">IF(L98&gt;0,N98*100/L98,0)</f>
        <v>58.91728091728092</v>
      </c>
      <c r="P98" s="168">
        <f ca="1">IF(M98&gt;0,N98*100/M98,0)</f>
        <v>70.489441967566506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60885</v>
      </c>
      <c r="O118" s="151">
        <f t="shared" ref="O118:O120" ca="1" si="59">IF(L118&gt;0,N118*100/L118,0)</f>
        <v>73.853711790393007</v>
      </c>
      <c r="P118" s="151">
        <f t="shared" ref="P118:P120" ca="1" si="60">IF(M118&gt;0,N118*100/M118,0)</f>
        <v>73.853711790393007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60885</v>
      </c>
      <c r="O120" s="156">
        <f t="shared" ca="1" si="59"/>
        <v>73.853711790393007</v>
      </c>
      <c r="P120" s="156">
        <f t="shared" ca="1" si="60"/>
        <v>73.853711790393007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IFERROR(__xludf.DUMMYFUNCTION("IMPORTRANGE(""https://docs.google.com/spreadsheets/d/1Yj_ptqi66GCucihVvJfMjLAmec39IyEx_6qawtMGysU/edit?usp=sharing"",""สบก!BA23"")"),82440)</f>
        <v>82440</v>
      </c>
      <c r="N122" s="168">
        <f ca="1">IFERROR(__xludf.DUMMYFUNCTION("IMPORTRANGE(""https://docs.google.com/spreadsheets/d/1Yj_ptqi66GCucihVvJfMjLAmec39IyEx_6qawtMGysU/edit?usp=sharing"",""สบก!BB23"")"),60885)</f>
        <v>60885</v>
      </c>
      <c r="O122" s="168">
        <f ca="1">IF(L122&gt;0,N122*100/L122,0)</f>
        <v>73.853711790393007</v>
      </c>
      <c r="P122" s="168">
        <f ca="1">IF(M122&gt;0,N122*100/M122,0)</f>
        <v>73.853711790393007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98725</v>
      </c>
      <c r="N140" s="152">
        <f t="shared" ca="1" si="64"/>
        <v>50230</v>
      </c>
      <c r="O140" s="151">
        <f t="shared" ref="O140:O142" ca="1" si="65">IF(L140&gt;0,N140*100/L140,0)</f>
        <v>72.79710144927536</v>
      </c>
      <c r="P140" s="151">
        <f t="shared" ref="P140:P142" ca="1" si="66">IF(M140&gt;0,N140*100/M140,0)</f>
        <v>50.878703469232718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98725</v>
      </c>
      <c r="N142" s="88">
        <f t="shared" ca="1" si="68"/>
        <v>50230</v>
      </c>
      <c r="O142" s="156">
        <f t="shared" ca="1" si="65"/>
        <v>72.79710144927536</v>
      </c>
      <c r="P142" s="156">
        <f t="shared" ca="1" si="66"/>
        <v>50.878703469232718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IFERROR(__xludf.DUMMYFUNCTION("IMPORTRANGE(""https://docs.google.com/spreadsheets/d/1Yj_ptqi66GCucihVvJfMjLAmec39IyEx_6qawtMGysU/edit?usp=sharing"",""สบก!BJ23"")"),98725)</f>
        <v>98725</v>
      </c>
      <c r="N144" s="168">
        <f ca="1">IFERROR(__xludf.DUMMYFUNCTION("IMPORTRANGE(""https://docs.google.com/spreadsheets/d/1Yj_ptqi66GCucihVvJfMjLAmec39IyEx_6qawtMGysU/edit?usp=sharing"",""สบก!BK23"")"),50230)</f>
        <v>50230</v>
      </c>
      <c r="O144" s="168">
        <f ca="1">IF(L144&gt;0,N144*100/L144,0)</f>
        <v>72.79710144927536</v>
      </c>
      <c r="P144" s="168">
        <f ca="1">IF(M144&gt;0,N144*100/M144,0)</f>
        <v>50.878703469232718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IFERROR(__xludf.DUMMYFUNCTION("IMPORTRANGE(""https://docs.google.com/spreadsheets/d/11923uPwbBZFjjGgGUA6NLw09EwE0CqkOc4q9oUmW1yo/edit?usp=sharing"",""ตาก!J84"")"),44)</f>
        <v>44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IFERROR(__xludf.DUMMYFUNCTION("IMPORTRANGE(""https://docs.google.com/spreadsheets/d/11923uPwbBZFjjGgGUA6NLw09EwE0CqkOc4q9oUmW1yo/edit?usp=sharing"",""ตาก!J85"")"),44)</f>
        <v>44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236000</v>
      </c>
      <c r="N271" s="152">
        <f t="shared" ca="1" si="83"/>
        <v>187506</v>
      </c>
      <c r="O271" s="151">
        <f t="shared" ref="O271:O273" ca="1" si="84">IF(L271&gt;0,N271*100/L271,0)</f>
        <v>55.540876777251185</v>
      </c>
      <c r="P271" s="151">
        <f t="shared" ref="P271:P273" ca="1" si="85">IF(M271&gt;0,N271*100/M271,0)</f>
        <v>79.451694915254237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236000</v>
      </c>
      <c r="N273" s="88">
        <f t="shared" ca="1" si="87"/>
        <v>187506</v>
      </c>
      <c r="O273" s="156">
        <f t="shared" ca="1" si="84"/>
        <v>55.540876777251185</v>
      </c>
      <c r="P273" s="156">
        <f t="shared" ca="1" si="85"/>
        <v>79.451694915254237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IFERROR(__xludf.DUMMYFUNCTION("IMPORTRANGE(""https://docs.google.com/spreadsheets/d/1Yj_ptqi66GCucihVvJfMjLAmec39IyEx_6qawtMGysU/edit?usp=sharing"",""สบก!CK23"")"),236000)</f>
        <v>236000</v>
      </c>
      <c r="N275" s="168">
        <f ca="1">IFERROR(__xludf.DUMMYFUNCTION("IMPORTRANGE(""https://docs.google.com/spreadsheets/d/1Yj_ptqi66GCucihVvJfMjLAmec39IyEx_6qawtMGysU/edit?usp=sharing"",""สบก!CL23"")"),187506)</f>
        <v>187506</v>
      </c>
      <c r="O275" s="168">
        <f ca="1">IF(L275&gt;0,N275*100/L275,0)</f>
        <v>55.540876777251185</v>
      </c>
      <c r="P275" s="168">
        <f ca="1">IF(M275&gt;0,N275*100/M275,0)</f>
        <v>79.451694915254237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IFERROR(__xludf.DUMMYFUNCTION("IMPORTRANGE(""https://docs.google.com/spreadsheets/d/11923uPwbBZFjjGgGUA6NLw09EwE0CqkOc4q9oUmW1yo/edit?usp=sharing"",""ตาก!J228"")"),219)</f>
        <v>219</v>
      </c>
      <c r="K328" s="317">
        <f ca="1">IF(I328&gt;0,J328*100/I328,0)</f>
        <v>66.36363636363636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1089370</v>
      </c>
      <c r="M329" s="152">
        <f t="shared" ca="1" si="98"/>
        <v>906970</v>
      </c>
      <c r="N329" s="152">
        <f t="shared" ca="1" si="98"/>
        <v>766305.86</v>
      </c>
      <c r="O329" s="151">
        <f t="shared" ref="O329:O331" ca="1" si="99">IF(L329&gt;0,N329*100/L329,0)</f>
        <v>70.343947419150524</v>
      </c>
      <c r="P329" s="151">
        <f t="shared" ref="P329:P331" ca="1" si="100">IF(M329&gt;0,N329*100/M329,0)</f>
        <v>84.490761546688418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1089370</v>
      </c>
      <c r="M331" s="88">
        <f t="shared" ca="1" si="102"/>
        <v>906970</v>
      </c>
      <c r="N331" s="88">
        <f t="shared" ca="1" si="102"/>
        <v>766305.86</v>
      </c>
      <c r="O331" s="156">
        <f t="shared" ca="1" si="99"/>
        <v>70.343947419150524</v>
      </c>
      <c r="P331" s="156">
        <f t="shared" ca="1" si="100"/>
        <v>84.490761546688418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951150</v>
      </c>
      <c r="M333" s="167">
        <f ca="1">IFERROR(__xludf.DUMMYFUNCTION("IMPORTRANGE(""https://docs.google.com/spreadsheets/d/1Yj_ptqi66GCucihVvJfMjLAmec39IyEx_6qawtMGysU/edit?usp=sharing"",""สบก!DL23"")"),768750)</f>
        <v>768750</v>
      </c>
      <c r="N333" s="168">
        <f ca="1">IFERROR(__xludf.DUMMYFUNCTION("IMPORTRANGE(""https://docs.google.com/spreadsheets/d/1Yj_ptqi66GCucihVvJfMjLAmec39IyEx_6qawtMGysU/edit?usp=sharing"",""สบก!DM23"")"),628085.86)</f>
        <v>628085.86</v>
      </c>
      <c r="O333" s="168">
        <f ca="1">IF(L333&gt;0,N333*100/L333,0)</f>
        <v>66.034364716395942</v>
      </c>
      <c r="P333" s="168">
        <f ca="1">IF(M333&gt;0,N333*100/M333,0)</f>
        <v>81.70222569105691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IFERROR(__xludf.DUMMYFUNCTION("IMPORTRANGE(""https://docs.google.com/spreadsheets/d/1Yj_ptqi66GCucihVvJfMjLAmec39IyEx_6qawtMGysU/edit?usp=sharing"",""สบก!DI23"")"),454350)</f>
        <v>454350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IFERROR(__xludf.DUMMYFUNCTION("IMPORTRANGE(""https://docs.google.com/spreadsheets/d/11923uPwbBZFjjGgGUA6NLw09EwE0CqkOc4q9oUmW1yo/edit?usp=sharing"",""ตาก!J234"")"),139)</f>
        <v>139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IFERROR(__xludf.DUMMYFUNCTION("IMPORTRANGE(""https://docs.google.com/spreadsheets/d/11923uPwbBZFjjGgGUA6NLw09EwE0CqkOc4q9oUmW1yo/edit?usp=sharing"",""ตาก!J235"")"),975.54)</f>
        <v>975.54</v>
      </c>
      <c r="K340" s="342">
        <f t="shared" ca="1" si="103"/>
        <v>32.518000000000001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IFERROR(__xludf.DUMMYFUNCTION("IMPORTRANGE(""https://docs.google.com/spreadsheets/d/11923uPwbBZFjjGgGUA6NLw09EwE0CqkOc4q9oUmW1yo/edit?usp=sharing"",""ตาก!J236"")"),258)</f>
        <v>258</v>
      </c>
      <c r="K341" s="342">
        <f t="shared" ca="1" si="103"/>
        <v>78.181818181818187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IFERROR(__xludf.DUMMYFUNCTION("IMPORTRANGE(""https://docs.google.com/spreadsheets/d/11923uPwbBZFjjGgGUA6NLw09EwE0CqkOc4q9oUmW1yo/edit?usp=sharing"",""ตาก!J237"")"),3054.06)</f>
        <v>3054.06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IFERROR(__xludf.DUMMYFUNCTION("IMPORTRANGE(""https://docs.google.com/spreadsheets/d/11923uPwbBZFjjGgGUA6NLw09EwE0CqkOc4q9oUmW1yo/edit?usp=sharing"",""ตาก!J240"")"),219)</f>
        <v>219</v>
      </c>
      <c r="K345" s="342">
        <f t="shared" ca="1" si="103"/>
        <v>66.36363636363636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IFERROR(__xludf.DUMMYFUNCTION("IMPORTRANGE(""https://docs.google.com/spreadsheets/d/11923uPwbBZFjjGgGUA6NLw09EwE0CqkOc4q9oUmW1yo/edit?usp=sharing"",""ตาก!J241"")"),2885.02)</f>
        <v>2885.02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IFERROR(__xludf.DUMMYFUNCTION("IMPORTRANGE(""https://docs.google.com/spreadsheets/d/11923uPwbBZFjjGgGUA6NLw09EwE0CqkOc4q9oUmW1yo/edit?usp=sharing"",""ตาก!L242"")"),1793228)</f>
        <v>1793228</v>
      </c>
      <c r="M347" s="357"/>
      <c r="N347" s="357">
        <f ca="1">IFERROR(__xludf.DUMMYFUNCTION("IMPORTRANGE(""https://docs.google.com/spreadsheets/d/11923uPwbBZFjjGgGUA6NLw09EwE0CqkOc4q9oUmW1yo/edit?usp=sharing"",""ตาก!M242"")"),1226209.5)</f>
        <v>1226209.5</v>
      </c>
      <c r="O347" s="357">
        <f ca="1">+IF(L347&gt;0,N347*100/L347,0)</f>
        <v>68.380010796173153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IFERROR(__xludf.DUMMYFUNCTION("IMPORTRANGE(""https://docs.google.com/spreadsheets/d/11923uPwbBZFjjGgGUA6NLw09EwE0CqkOc4q9oUmW1yo/edit?usp=sharing"",""ตาก!M275"")"),448060)</f>
        <v>448060</v>
      </c>
      <c r="O380" s="372">
        <f ca="1">+IF(L380&gt;0,N380*100/L380,0)</f>
        <v>97.374712044160475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IFERROR(__xludf.DUMMYFUNCTION("IMPORTRANGE(""https://docs.google.com/spreadsheets/d/11923uPwbBZFjjGgGUA6NLw09EwE0CqkOc4q9oUmW1yo/edit?usp=sharing"",""ตาก!M278"")"),448060)</f>
        <v>448060</v>
      </c>
      <c r="O383" s="165">
        <f t="shared" ca="1" si="109"/>
        <v>97.374712044160475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IFERROR(__xludf.DUMMYFUNCTION("IMPORTRANGE(""https://docs.google.com/spreadsheets/d/11923uPwbBZFjjGgGUA6NLw09EwE0CqkOc4q9oUmW1yo/edit?usp=sharing"",""ตาก!M280"")"),448060)</f>
        <v>448060</v>
      </c>
      <c r="O385" s="168">
        <f t="shared" ca="1" si="109"/>
        <v>97.374712044160475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IFERROR(__xludf.DUMMYFUNCTION("IMPORTRANGE(""https://docs.google.com/spreadsheets/d/11923uPwbBZFjjGgGUA6NLw09EwE0CqkOc4q9oUmW1yo/edit?usp=sharing"",""ตาก!M281"")"),98920)</f>
        <v>98920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IFERROR(__xludf.DUMMYFUNCTION("IMPORTRANGE(""https://docs.google.com/spreadsheets/d/11923uPwbBZFjjGgGUA6NLw09EwE0CqkOc4q9oUmW1yo/edit?usp=sharing"",""ตาก!M296"")"),205242)</f>
        <v>205242</v>
      </c>
      <c r="O401" s="372">
        <f ca="1">+IF(L401&gt;0,N401*100/L401,0)</f>
        <v>89.092329730433647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IFERROR(__xludf.DUMMYFUNCTION("IMPORTRANGE(""https://docs.google.com/spreadsheets/d/11923uPwbBZFjjGgGUA6NLw09EwE0CqkOc4q9oUmW1yo/edit?usp=sharing"",""ตาก!M299"")"),205242)</f>
        <v>205242</v>
      </c>
      <c r="O404" s="168">
        <f t="shared" ca="1" si="112"/>
        <v>89.092329730433647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IFERROR(__xludf.DUMMYFUNCTION("IMPORTRANGE(""https://docs.google.com/spreadsheets/d/11923uPwbBZFjjGgGUA6NLw09EwE0CqkOc4q9oUmW1yo/edit?usp=sharing"",""ตาก!M301"")"),205242)</f>
        <v>205242</v>
      </c>
      <c r="O406" s="168">
        <f t="shared" ca="1" si="112"/>
        <v>89.092329730433647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IFERROR(__xludf.DUMMYFUNCTION("IMPORTRANGE(""https://docs.google.com/spreadsheets/d/11923uPwbBZFjjGgGUA6NLw09EwE0CqkOc4q9oUmW1yo/edit?usp=sharing"",""ตาก!M302"")"),124222)</f>
        <v>124222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IFERROR(__xludf.DUMMYFUNCTION("IMPORTRANGE(""https://docs.google.com/spreadsheets/d/11923uPwbBZFjjGgGUA6NLw09EwE0CqkOc4q9oUmW1yo/edit?usp=sharing"",""ตาก!M330"")"),77538)</f>
        <v>77538</v>
      </c>
      <c r="O435" s="411">
        <f t="shared" ref="O435:O439" ca="1" si="114">+IF(L435&gt;0,N435*100/L435,0)</f>
        <v>77.537999999999997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IFERROR(__xludf.DUMMYFUNCTION("IMPORTRANGE(""https://docs.google.com/spreadsheets/d/11923uPwbBZFjjGgGUA6NLw09EwE0CqkOc4q9oUmW1yo/edit?usp=sharing"",""ตาก!M332"")"),77538)</f>
        <v>77538</v>
      </c>
      <c r="O437" s="168">
        <f t="shared" ca="1" si="114"/>
        <v>77.537999999999997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IFERROR(__xludf.DUMMYFUNCTION("IMPORTRANGE(""https://docs.google.com/spreadsheets/d/11923uPwbBZFjjGgGUA6NLw09EwE0CqkOc4q9oUmW1yo/edit?usp=sharing"",""ตาก!M334"")"),77538)</f>
        <v>77538</v>
      </c>
      <c r="O439" s="168">
        <f t="shared" ca="1" si="114"/>
        <v>77.537999999999997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IFERROR(__xludf.DUMMYFUNCTION("IMPORTRANGE(""https://docs.google.com/spreadsheets/d/11923uPwbBZFjjGgGUA6NLw09EwE0CqkOc4q9oUmW1yo/edit?usp=sharing"",""ตาก!M338"")"),33338)</f>
        <v>33338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IFERROR(__xludf.DUMMYFUNCTION("IMPORTRANGE(""https://docs.google.com/spreadsheets/d/11923uPwbBZFjjGgGUA6NLw09EwE0CqkOc4q9oUmW1yo/edit?usp=sharing"",""ตาก!J350"")"),50133)</f>
        <v>50133</v>
      </c>
      <c r="K455" s="371">
        <f ca="1">IF(I455&gt;0,J455*100/I455,0)</f>
        <v>90.564708432690225</v>
      </c>
      <c r="L455" s="372">
        <f ca="1">IFERROR(__xludf.DUMMYFUNCTION("IMPORTRANGE(""https://docs.google.com/spreadsheets/d/11923uPwbBZFjjGgGUA6NLw09EwE0CqkOc4q9oUmW1yo/edit?usp=sharing"",""ตาก!L350"")"),462178)</f>
        <v>462178</v>
      </c>
      <c r="M455" s="372"/>
      <c r="N455" s="372">
        <f ca="1">IFERROR(__xludf.DUMMYFUNCTION("IMPORTRANGE(""https://docs.google.com/spreadsheets/d/11923uPwbBZFjjGgGUA6NLw09EwE0CqkOc4q9oUmW1yo/edit?usp=sharing"",""ตาก!M350"")"),241144.25)</f>
        <v>241144.25</v>
      </c>
      <c r="O455" s="372">
        <f t="shared" ref="O455:O459" ca="1" si="116">+IF(L455&gt;0,N455*100/L455,0)</f>
        <v>52.175622811990188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IFERROR(__xludf.DUMMYFUNCTION("IMPORTRANGE(""https://docs.google.com/spreadsheets/d/11923uPwbBZFjjGgGUA6NLw09EwE0CqkOc4q9oUmW1yo/edit?usp=sharing"",""ตาก!M352"")"),241144.25)</f>
        <v>241144.25</v>
      </c>
      <c r="O457" s="168">
        <f t="shared" ca="1" si="116"/>
        <v>52.175622811990188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IFERROR(__xludf.DUMMYFUNCTION("IMPORTRANGE(""https://docs.google.com/spreadsheets/d/11923uPwbBZFjjGgGUA6NLw09EwE0CqkOc4q9oUmW1yo/edit?usp=sharing"",""ตาก!M354"")"),241144.25)</f>
        <v>241144.25</v>
      </c>
      <c r="O459" s="168">
        <f t="shared" ca="1" si="116"/>
        <v>52.175622811990188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IFERROR(__xludf.DUMMYFUNCTION("IMPORTRANGE(""https://docs.google.com/spreadsheets/d/11923uPwbBZFjjGgGUA6NLw09EwE0CqkOc4q9oUmW1yo/edit?usp=sharing"",""ตาก!M357"")"),65266)</f>
        <v>65266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IFERROR(__xludf.DUMMYFUNCTION("IMPORTRANGE(""https://docs.google.com/spreadsheets/d/11923uPwbBZFjjGgGUA6NLw09EwE0CqkOc4q9oUmW1yo/edit?usp=sharing"",""ตาก!M358"")"),175878.25)</f>
        <v>175878.25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IFERROR(__xludf.DUMMYFUNCTION("IMPORTRANGE(""https://docs.google.com/spreadsheets/d/11923uPwbBZFjjGgGUA6NLw09EwE0CqkOc4q9oUmW1yo/edit?usp=sharing"",""ตาก!J359"")"),50133)</f>
        <v>50133</v>
      </c>
      <c r="K464" s="268">
        <f t="shared" ref="K464:K515" ca="1" si="117">IF(I464&gt;0,J464*100/I464,0)</f>
        <v>90.564708432690225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IFERROR(__xludf.DUMMYFUNCTION("IMPORTRANGE(""https://docs.google.com/spreadsheets/d/11923uPwbBZFjjGgGUA6NLw09EwE0CqkOc4q9oUmW1yo/edit?usp=sharing"",""ตาก!J376"")"),50133)</f>
        <v>50133</v>
      </c>
      <c r="K481" s="201">
        <f t="shared" ca="1" si="117"/>
        <v>90.564708432690225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IFERROR(__xludf.DUMMYFUNCTION("IMPORTRANGE(""https://docs.google.com/spreadsheets/d/11923uPwbBZFjjGgGUA6NLw09EwE0CqkOc4q9oUmW1yo/edit?usp=sharing"",""ตาก!J377"")"),3447)</f>
        <v>3447</v>
      </c>
      <c r="K482" s="163">
        <f t="shared" ca="1" si="117"/>
        <v>76.498002663115841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IFERROR(__xludf.DUMMYFUNCTION("IMPORTRANGE(""https://docs.google.com/spreadsheets/d/11923uPwbBZFjjGgGUA6NLw09EwE0CqkOc4q9oUmW1yo/edit?usp=sharing"",""ตาก!J378"")"),49222)</f>
        <v>49222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IFERROR(__xludf.DUMMYFUNCTION("IMPORTRANGE(""https://docs.google.com/spreadsheets/d/11923uPwbBZFjjGgGUA6NLw09EwE0CqkOc4q9oUmW1yo/edit?usp=sharing"",""ตาก!J379"")"),3389)</f>
        <v>3389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IFERROR(__xludf.DUMMYFUNCTION("IMPORTRANGE(""https://docs.google.com/spreadsheets/d/11923uPwbBZFjjGgGUA6NLw09EwE0CqkOc4q9oUmW1yo/edit?usp=sharing"",""ตาก!J382"")"),911)</f>
        <v>911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IFERROR(__xludf.DUMMYFUNCTION("IMPORTRANGE(""https://docs.google.com/spreadsheets/d/11923uPwbBZFjjGgGUA6NLw09EwE0CqkOc4q9oUmW1yo/edit?usp=sharing"",""ตาก!J383"")"),58)</f>
        <v>58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IFERROR(__xludf.DUMMYFUNCTION("IMPORTRANGE(""https://docs.google.com/spreadsheets/d/11923uPwbBZFjjGgGUA6NLw09EwE0CqkOc4q9oUmW1yo/edit?usp=sharing"",""ตาก!J384"")"),911)</f>
        <v>911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IFERROR(__xludf.DUMMYFUNCTION("IMPORTRANGE(""https://docs.google.com/spreadsheets/d/11923uPwbBZFjjGgGUA6NLw09EwE0CqkOc4q9oUmW1yo/edit?usp=sharing"",""ตาก!J385"")"),58)</f>
        <v>58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IFERROR(__xludf.DUMMYFUNCTION("IMPORTRANGE(""https://docs.google.com/spreadsheets/d/11923uPwbBZFjjGgGUA6NLw09EwE0CqkOc4q9oUmW1yo/edit?usp=sharing"",""ตาก!M428"")"),28440)</f>
        <v>28440</v>
      </c>
      <c r="O533" s="411">
        <f t="shared" ref="O533:O537" ca="1" si="118">+IF(L533&gt;0,N533*100/L533,0)</f>
        <v>82.81887012230635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IFERROR(__xludf.DUMMYFUNCTION("IMPORTRANGE(""https://docs.google.com/spreadsheets/d/11923uPwbBZFjjGgGUA6NLw09EwE0CqkOc4q9oUmW1yo/edit?usp=sharing"",""ตาก!M430"")"),28440)</f>
        <v>28440</v>
      </c>
      <c r="O535" s="168">
        <f t="shared" ca="1" si="118"/>
        <v>82.81887012230635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IFERROR(__xludf.DUMMYFUNCTION("IMPORTRANGE(""https://docs.google.com/spreadsheets/d/11923uPwbBZFjjGgGUA6NLw09EwE0CqkOc4q9oUmW1yo/edit?usp=sharing"",""ตาก!M432"")"),28440)</f>
        <v>28440</v>
      </c>
      <c r="O537" s="168">
        <f t="shared" ca="1" si="118"/>
        <v>82.81887012230635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IFERROR(__xludf.DUMMYFUNCTION("IMPORTRANGE(""https://docs.google.com/spreadsheets/d/11923uPwbBZFjjGgGUA6NLw09EwE0CqkOc4q9oUmW1yo/edit?usp=sharing"",""ตาก!M436"")"),9700)</f>
        <v>9700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IFERROR(__xludf.DUMMYFUNCTION("IMPORTRANGE(""https://docs.google.com/spreadsheets/d/11923uPwbBZFjjGgGUA6NLw09EwE0CqkOc4q9oUmW1yo/edit?usp=sharing"",""ตาก!J459"")"),1278)</f>
        <v>1278</v>
      </c>
      <c r="K564" s="371">
        <f ca="1">IF(I564&gt;0,J564*100/I564,0)</f>
        <v>98.307692307692307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IFERROR(__xludf.DUMMYFUNCTION("IMPORTRANGE(""https://docs.google.com/spreadsheets/d/11923uPwbBZFjjGgGUA6NLw09EwE0CqkOc4q9oUmW1yo/edit?usp=sharing"",""ตาก!M459"")"),60595)</f>
        <v>60595</v>
      </c>
      <c r="O564" s="372">
        <f t="shared" ref="O564:O568" ca="1" si="122">+IF(L564&gt;0,N564*100/L564,0)</f>
        <v>47.310274828232352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IFERROR(__xludf.DUMMYFUNCTION("IMPORTRANGE(""https://docs.google.com/spreadsheets/d/11923uPwbBZFjjGgGUA6NLw09EwE0CqkOc4q9oUmW1yo/edit?usp=sharing"",""ตาก!M461"")"),60595)</f>
        <v>60595</v>
      </c>
      <c r="O566" s="168">
        <f t="shared" ca="1" si="122"/>
        <v>47.310274828232352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IFERROR(__xludf.DUMMYFUNCTION("IMPORTRANGE(""https://docs.google.com/spreadsheets/d/11923uPwbBZFjjGgGUA6NLw09EwE0CqkOc4q9oUmW1yo/edit?usp=sharing"",""ตาก!M463"")"),60595)</f>
        <v>60595</v>
      </c>
      <c r="O568" s="168">
        <f t="shared" ca="1" si="122"/>
        <v>47.310274828232352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IFERROR(__xludf.DUMMYFUNCTION("IMPORTRANGE(""https://docs.google.com/spreadsheets/d/11923uPwbBZFjjGgGUA6NLw09EwE0CqkOc4q9oUmW1yo/edit?usp=sharing"",""ตาก!M466"")"),31935)</f>
        <v>31935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IFERROR(__xludf.DUMMYFUNCTION("IMPORTRANGE(""https://docs.google.com/spreadsheets/d/11923uPwbBZFjjGgGUA6NLw09EwE0CqkOc4q9oUmW1yo/edit?usp=sharing"",""ตาก!J468"")"),1278)</f>
        <v>1278</v>
      </c>
      <c r="K573" s="201">
        <f ca="1">IF(I573&gt;0,J573*100/I573,0)</f>
        <v>98.307692307692307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IFERROR(__xludf.DUMMYFUNCTION("IMPORTRANGE(""https://docs.google.com/spreadsheets/d/11923uPwbBZFjjGgGUA6NLw09EwE0CqkOc4q9oUmW1yo/edit?usp=sharing"",""ตาก!J472"")"),849)</f>
        <v>849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IFERROR(__xludf.DUMMYFUNCTION("IMPORTRANGE(""https://docs.google.com/spreadsheets/d/11923uPwbBZFjjGgGUA6NLw09EwE0CqkOc4q9oUmW1yo/edit?usp=sharing"",""ตาก!M475"")"),164390.25)</f>
        <v>164390.25</v>
      </c>
      <c r="O580" s="372">
        <f t="shared" ref="O580:O584" ca="1" si="124">+IF(L580&gt;0,N580*100/L580,0)</f>
        <v>44.427395816442356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IFERROR(__xludf.DUMMYFUNCTION("IMPORTRANGE(""https://docs.google.com/spreadsheets/d/11923uPwbBZFjjGgGUA6NLw09EwE0CqkOc4q9oUmW1yo/edit?usp=sharing"",""ตาก!M477"")"),164390.25)</f>
        <v>164390.25</v>
      </c>
      <c r="O582" s="168">
        <f t="shared" ca="1" si="124"/>
        <v>44.427395816442356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IFERROR(__xludf.DUMMYFUNCTION("IMPORTRANGE(""https://docs.google.com/spreadsheets/d/11923uPwbBZFjjGgGUA6NLw09EwE0CqkOc4q9oUmW1yo/edit?usp=sharing"",""ตาก!M479"")"),164390.25)</f>
        <v>164390.25</v>
      </c>
      <c r="O584" s="168">
        <f t="shared" ca="1" si="124"/>
        <v>44.427395816442356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IFERROR(__xludf.DUMMYFUNCTION("IMPORTRANGE(""https://docs.google.com/spreadsheets/d/11923uPwbBZFjjGgGUA6NLw09EwE0CqkOc4q9oUmW1yo/edit?usp=sharing"",""ตาก!M482"")"),65266)</f>
        <v>65266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IFERROR(__xludf.DUMMYFUNCTION("IMPORTRANGE(""https://docs.google.com/spreadsheets/d/11923uPwbBZFjjGgGUA6NLw09EwE0CqkOc4q9oUmW1yo/edit?usp=sharing"",""ตาก!M483"")"),99124.25)</f>
        <v>99124.25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7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IFERROR(__xludf.DUMMYFUNCTION("IMPORTRANGE(""https://docs.google.com/spreadsheets/d/11923uPwbBZFjjGgGUA6NLw09EwE0CqkOc4q9oUmW1yo/edit?usp=sharing"",""ตาก!J523"")"),1408281.56)</f>
        <v>1408281.56</v>
      </c>
      <c r="K628" s="342">
        <f t="shared" ref="K628:K635" ca="1" si="129">IF(I628&gt;0,J628*100/I628,0)</f>
        <v>69.55833072381219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IFERROR(__xludf.DUMMYFUNCTION("IMPORTRANGE(""https://docs.google.com/spreadsheets/d/11923uPwbBZFjjGgGUA6NLw09EwE0CqkOc4q9oUmW1yo/edit?usp=sharing"",""ตาก!J524"")"),128)</f>
        <v>128</v>
      </c>
      <c r="K629" s="342">
        <f t="shared" ca="1" si="129"/>
        <v>72.316384180790962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IFERROR(__xludf.DUMMYFUNCTION("IMPORTRANGE(""https://docs.google.com/spreadsheets/d/11923uPwbBZFjjGgGUA6NLw09EwE0CqkOc4q9oUmW1yo/edit?usp=sharing"",""ตาก!J525"")"),476216.7)</f>
        <v>476216.7</v>
      </c>
      <c r="K630" s="342">
        <f t="shared" ca="1" si="129"/>
        <v>6.1851825632107715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IFERROR(__xludf.DUMMYFUNCTION("IMPORTRANGE(""https://docs.google.com/spreadsheets/d/11923uPwbBZFjjGgGUA6NLw09EwE0CqkOc4q9oUmW1yo/edit?usp=sharing"",""ตาก!J526"")"),163)</f>
        <v>163</v>
      </c>
      <c r="K631" s="342">
        <f t="shared" ca="1" si="129"/>
        <v>55.821917808219176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IFERROR(__xludf.DUMMYFUNCTION("IMPORTRANGE(""https://docs.google.com/spreadsheets/d/11923uPwbBZFjjGgGUA6NLw09EwE0CqkOc4q9oUmW1yo/edit?usp=sharing"",""ตาก!J529"")"),1285000)</f>
        <v>1285000</v>
      </c>
      <c r="K634" s="342">
        <f t="shared" ca="1" si="129"/>
        <v>42.833333333333336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IFERROR(__xludf.DUMMYFUNCTION("IMPORTRANGE(""https://docs.google.com/spreadsheets/d/11923uPwbBZFjjGgGUA6NLw09EwE0CqkOc4q9oUmW1yo/edit?usp=sharing"",""ตาก!I530"")"),100)</f>
        <v>100</v>
      </c>
      <c r="J635" s="504">
        <f ca="1">IFERROR(__xludf.DUMMYFUNCTION("IMPORTRANGE(""https://docs.google.com/spreadsheets/d/11923uPwbBZFjjGgGUA6NLw09EwE0CqkOc4q9oUmW1yo/edit?usp=sharing"",""ตาก!J530"")"),43)</f>
        <v>43</v>
      </c>
      <c r="K635" s="486">
        <f t="shared" ca="1" si="129"/>
        <v>43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IFERROR(__xludf.DUMMYFUNCTION("IMPORTRANGE(""https://docs.google.com/spreadsheets/d/11923uPwbBZFjjGgGUA6NLw09EwE0CqkOc4q9oUmW1yo/edit?usp=sharing"",""ตาก!J541"")"),0)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IFERROR(__xludf.DUMMYFUNCTION("IMPORTRANGE(""https://docs.google.com/spreadsheets/d/11923uPwbBZFjjGgGUA6NLw09EwE0CqkOc4q9oUmW1yo/edit?usp=sharing"",""ตาก!J542"")"),0)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IFERROR(__xludf.DUMMYFUNCTION("IMPORTRANGE(""https://docs.google.com/spreadsheets/d/11923uPwbBZFjjGgGUA6NLw09EwE0CqkOc4q9oUmW1yo/edit?usp=sharing"",""ตาก!I543"")"),0)</f>
        <v>0</v>
      </c>
      <c r="J648" s="535">
        <f ca="1">IFERROR(__xludf.DUMMYFUNCTION("IMPORTRANGE(""https://docs.google.com/spreadsheets/d/11923uPwbBZFjjGgGUA6NLw09EwE0CqkOc4q9oUmW1yo/edit?usp=sharing"",""ตาก!J543"")"),0)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IFERROR(__xludf.DUMMYFUNCTION("IMPORTRANGE(""https://docs.google.com/spreadsheets/d/11923uPwbBZFjjGgGUA6NLw09EwE0CqkOc4q9oUmW1yo/edit?usp=sharing"",""ตาก!L543"")"),0)</f>
        <v>0</v>
      </c>
      <c r="M648" s="520"/>
      <c r="N648" s="537">
        <f ca="1">IFERROR(__xludf.DUMMYFUNCTION("IMPORTRANGE(""https://docs.google.com/spreadsheets/d/11923uPwbBZFjjGgGUA6NLw09EwE0CqkOc4q9oUmW1yo/edit?usp=sharing"",""ตาก!M543"")"),0)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IFERROR(__xludf.DUMMYFUNCTION("IMPORTRANGE(""https://docs.google.com/spreadsheets/d/11923uPwbBZFjjGgGUA6NLw09EwE0CqkOc4q9oUmW1yo/edit?usp=sharing"",""ตาก!I544"")"),0)</f>
        <v>0</v>
      </c>
      <c r="J649" s="535">
        <f ca="1">IFERROR(__xludf.DUMMYFUNCTION("IMPORTRANGE(""https://docs.google.com/spreadsheets/d/11923uPwbBZFjjGgGUA6NLw09EwE0CqkOc4q9oUmW1yo/edit?usp=sharing"",""ตาก!J544"")"),0)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IFERROR(__xludf.DUMMYFUNCTION("IMPORTRANGE(""https://docs.google.com/spreadsheets/d/11923uPwbBZFjjGgGUA6NLw09EwE0CqkOc4q9oUmW1yo/edit?usp=sharing"",""ตาก!L544"")"),0)</f>
        <v>0</v>
      </c>
      <c r="M649" s="520"/>
      <c r="N649" s="537">
        <f ca="1">IFERROR(__xludf.DUMMYFUNCTION("IMPORTRANGE(""https://docs.google.com/spreadsheets/d/11923uPwbBZFjjGgGUA6NLw09EwE0CqkOc4q9oUmW1yo/edit?usp=sharing"",""ตาก!M544"")"),0)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IFERROR(__xludf.DUMMYFUNCTION("IMPORTRANGE(""https://docs.google.com/spreadsheets/d/11923uPwbBZFjjGgGUA6NLw09EwE0CqkOc4q9oUmW1yo/edit?usp=sharing"",""ตาก!I545"")"),0)</f>
        <v>0</v>
      </c>
      <c r="J650" s="535">
        <f ca="1">IFERROR(__xludf.DUMMYFUNCTION("IMPORTRANGE(""https://docs.google.com/spreadsheets/d/11923uPwbBZFjjGgGUA6NLw09EwE0CqkOc4q9oUmW1yo/edit?usp=sharing"",""ตาก!J545"")"),0)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IFERROR(__xludf.DUMMYFUNCTION("IMPORTRANGE(""https://docs.google.com/spreadsheets/d/11923uPwbBZFjjGgGUA6NLw09EwE0CqkOc4q9oUmW1yo/edit?usp=sharing"",""ตาก!L545"")"),0)</f>
        <v>0</v>
      </c>
      <c r="M650" s="520"/>
      <c r="N650" s="537">
        <f ca="1">IFERROR(__xludf.DUMMYFUNCTION("IMPORTRANGE(""https://docs.google.com/spreadsheets/d/11923uPwbBZFjjGgGUA6NLw09EwE0CqkOc4q9oUmW1yo/edit?usp=sharing"",""ตาก!M545"")"),0)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IFERROR(__xludf.DUMMYFUNCTION("IMPORTRANGE(""https://docs.google.com/spreadsheets/d/11923uPwbBZFjjGgGUA6NLw09EwE0CqkOc4q9oUmW1yo/edit?usp=sharing"",""ตาก!I546"")"),0)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IFERROR(__xludf.DUMMYFUNCTION("IMPORTRANGE(""https://docs.google.com/spreadsheets/d/11923uPwbBZFjjGgGUA6NLw09EwE0CqkOc4q9oUmW1yo/edit?usp=sharing"",""ตาก!L546"")"),0)</f>
        <v>0</v>
      </c>
      <c r="M651" s="520"/>
      <c r="N651" s="537">
        <f ca="1">IFERROR(__xludf.DUMMYFUNCTION("IMPORTRANGE(""https://docs.google.com/spreadsheets/d/11923uPwbBZFjjGgGUA6NLw09EwE0CqkOc4q9oUmW1yo/edit?usp=sharing"",""ตาก!M546"")"),0)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IFERROR(__xludf.DUMMYFUNCTION("IMPORTRANGE(""https://docs.google.com/spreadsheets/d/11923uPwbBZFjjGgGUA6NLw09EwE0CqkOc4q9oUmW1yo/edit?usp=sharing"",""ตาก!J547"")"),0)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IFERROR(__xludf.DUMMYFUNCTION("IMPORTRANGE(""https://docs.google.com/spreadsheets/d/11923uPwbBZFjjGgGUA6NLw09EwE0CqkOc4q9oUmW1yo/edit?usp=sharing"",""ตาก!J548"")"),0)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IFERROR(__xludf.DUMMYFUNCTION("IMPORTRANGE(""https://docs.google.com/spreadsheets/d/11923uPwbBZFjjGgGUA6NLw09EwE0CqkOc4q9oUmW1yo/edit?usp=sharing"",""ตาก!J550"")"),0)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IFERROR(__xludf.DUMMYFUNCTION("IMPORTRANGE(""https://docs.google.com/spreadsheets/d/11923uPwbBZFjjGgGUA6NLw09EwE0CqkOc4q9oUmW1yo/edit?usp=sharing"",""ตาก!J551"")"),0)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IFERROR(__xludf.DUMMYFUNCTION("IMPORTRANGE(""https://docs.google.com/spreadsheets/d/11923uPwbBZFjjGgGUA6NLw09EwE0CqkOc4q9oUmW1yo/edit?usp=sharing"",""ตาก!J552"")"),0)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IFERROR(__xludf.DUMMYFUNCTION("IMPORTRANGE(""https://docs.google.com/spreadsheets/d/11923uPwbBZFjjGgGUA6NLw09EwE0CqkOc4q9oUmW1yo/edit?usp=sharing"",""ตาก!J553"")"),0)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IFERROR(__xludf.DUMMYFUNCTION("IMPORTRANGE(""https://docs.google.com/spreadsheets/d/11923uPwbBZFjjGgGUA6NLw09EwE0CqkOc4q9oUmW1yo/edit?usp=sharing"",""ตาก!J554"")"),0)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IFERROR(__xludf.DUMMYFUNCTION("IMPORTRANGE(""https://docs.google.com/spreadsheets/d/11923uPwbBZFjjGgGUA6NLw09EwE0CqkOc4q9oUmW1yo/edit?usp=sharing"",""ตาก!J555"")"),0)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IFERROR(__xludf.DUMMYFUNCTION("IMPORTRANGE(""https://docs.google.com/spreadsheets/d/11923uPwbBZFjjGgGUA6NLw09EwE0CqkOc4q9oUmW1yo/edit?usp=sharing"",""ตาก!J556"")"),0)</f>
        <v>0</v>
      </c>
      <c r="K661" s="536"/>
      <c r="L661" s="521">
        <f ca="1">IFERROR(__xludf.DUMMYFUNCTION("IMPORTRANGE(""https://docs.google.com/spreadsheets/d/11923uPwbBZFjjGgGUA6NLw09EwE0CqkOc4q9oUmW1yo/edit?usp=sharing"",""ตาก!L556"")"),0)</f>
        <v>0</v>
      </c>
      <c r="M661" s="520"/>
      <c r="N661" s="537">
        <f ca="1">IFERROR(__xludf.DUMMYFUNCTION("IMPORTRANGE(""https://docs.google.com/spreadsheets/d/11923uPwbBZFjjGgGUA6NLw09EwE0CqkOc4q9oUmW1yo/edit?usp=sharing"",""ตาก!M556"")"),0)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IFERROR(__xludf.DUMMYFUNCTION("IMPORTRANGE(""https://docs.google.com/spreadsheets/d/11923uPwbBZFjjGgGUA6NLw09EwE0CqkOc4q9oUmW1yo/edit?usp=sharing"",""ตาก!J557"")"),0)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IFERROR(__xludf.DUMMYFUNCTION("IMPORTRANGE(""https://docs.google.com/spreadsheets/d/11923uPwbBZFjjGgGUA6NLw09EwE0CqkOc4q9oUmW1yo/edit?usp=sharing"",""ตาก!I558"")"),0)</f>
        <v>0</v>
      </c>
      <c r="J663" s="535">
        <f ca="1">IFERROR(__xludf.DUMMYFUNCTION("IMPORTRANGE(""https://docs.google.com/spreadsheets/d/11923uPwbBZFjjGgGUA6NLw09EwE0CqkOc4q9oUmW1yo/edit?usp=sharing"",""ตาก!J558"")"),0)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IFERROR(__xludf.DUMMYFUNCTION("IMPORTRANGE(""https://docs.google.com/spreadsheets/d/11923uPwbBZFjjGgGUA6NLw09EwE0CqkOc4q9oUmW1yo/edit?usp=sharing"",""ตาก!I560"")"),0)</f>
        <v>0</v>
      </c>
      <c r="J665" s="535">
        <f ca="1">IFERROR(__xludf.DUMMYFUNCTION("IMPORTRANGE(""https://docs.google.com/spreadsheets/d/11923uPwbBZFjjGgGUA6NLw09EwE0CqkOc4q9oUmW1yo/edit?usp=sharing"",""ตาก!J560"")"),0)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IFERROR(__xludf.DUMMYFUNCTION("IMPORTRANGE(""https://docs.google.com/spreadsheets/d/11923uPwbBZFjjGgGUA6NLw09EwE0CqkOc4q9oUmW1yo/edit?usp=sharing"",""ตาก!L560"")"),0)</f>
        <v>0</v>
      </c>
      <c r="M665" s="520"/>
      <c r="N665" s="537">
        <f ca="1">IFERROR(__xludf.DUMMYFUNCTION("IMPORTRANGE(""https://docs.google.com/spreadsheets/d/11923uPwbBZFjjGgGUA6NLw09EwE0CqkOc4q9oUmW1yo/edit?usp=sharing"",""ตาก!M560"")"),0)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IFERROR(__xludf.DUMMYFUNCTION("IMPORTRANGE(""https://docs.google.com/spreadsheets/d/11923uPwbBZFjjGgGUA6NLw09EwE0CqkOc4q9oUmW1yo/edit?usp=sharing"",""ตาก!J561"")"),0)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IFERROR(__xludf.DUMMYFUNCTION("IMPORTRANGE(""https://docs.google.com/spreadsheets/d/11923uPwbBZFjjGgGUA6NLw09EwE0CqkOc4q9oUmW1yo/edit?usp=sharing"",""ตาก!J562"")"),0)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IFERROR(__xludf.DUMMYFUNCTION("IMPORTRANGE(""https://docs.google.com/spreadsheets/d/11923uPwbBZFjjGgGUA6NLw09EwE0CqkOc4q9oUmW1yo/edit?usp=sharing"",""ตาก!I563"")"),0)</f>
        <v>0</v>
      </c>
      <c r="J668" s="535">
        <f ca="1">IFERROR(__xludf.DUMMYFUNCTION("IMPORTRANGE(""https://docs.google.com/spreadsheets/d/11923uPwbBZFjjGgGUA6NLw09EwE0CqkOc4q9oUmW1yo/edit?usp=sharing"",""ตาก!J563"")"),0)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IFERROR(__xludf.DUMMYFUNCTION("IMPORTRANGE(""https://docs.google.com/spreadsheets/d/11923uPwbBZFjjGgGUA6NLw09EwE0CqkOc4q9oUmW1yo/edit?usp=sharing"",""ตาก!L563"")"),0)</f>
        <v>0</v>
      </c>
      <c r="M668" s="520"/>
      <c r="N668" s="537">
        <f ca="1">IFERROR(__xludf.DUMMYFUNCTION("IMPORTRANGE(""https://docs.google.com/spreadsheets/d/11923uPwbBZFjjGgGUA6NLw09EwE0CqkOc4q9oUmW1yo/edit?usp=sharing"",""ตาก!M563"")"),0)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IFERROR(__xludf.DUMMYFUNCTION("IMPORTRANGE(""https://docs.google.com/spreadsheets/d/11923uPwbBZFjjGgGUA6NLw09EwE0CqkOc4q9oUmW1yo/edit?usp=sharing"",""ตาก!J564"")"),0)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IFERROR(__xludf.DUMMYFUNCTION("IMPORTRANGE(""https://docs.google.com/spreadsheets/d/11923uPwbBZFjjGgGUA6NLw09EwE0CqkOc4q9oUmW1yo/edit?usp=sharing"",""ตาก!J565"")"),0)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IFERROR(__xludf.DUMMYFUNCTION("IMPORTRANGE(""https://docs.google.com/spreadsheets/d/11923uPwbBZFjjGgGUA6NLw09EwE0CqkOc4q9oUmW1yo/edit?usp=sharing"",""ตาก!I566"")"),0)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IFERROR(__xludf.DUMMYFUNCTION("IMPORTRANGE(""https://docs.google.com/spreadsheets/d/11923uPwbBZFjjGgGUA6NLw09EwE0CqkOc4q9oUmW1yo/edit?usp=sharing"",""ตาก!L566"")"),0)</f>
        <v>0</v>
      </c>
      <c r="M671" s="520"/>
      <c r="N671" s="537">
        <f ca="1">IFERROR(__xludf.DUMMYFUNCTION("IMPORTRANGE(""https://docs.google.com/spreadsheets/d/11923uPwbBZFjjGgGUA6NLw09EwE0CqkOc4q9oUmW1yo/edit?usp=sharing"",""ตาก!M566"")"),0)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IFERROR(__xludf.DUMMYFUNCTION("IMPORTRANGE(""https://docs.google.com/spreadsheets/d/11923uPwbBZFjjGgGUA6NLw09EwE0CqkOc4q9oUmW1yo/edit?usp=sharing"",""ตาก!J567"")"),0)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IFERROR(__xludf.DUMMYFUNCTION("IMPORTRANGE(""https://docs.google.com/spreadsheets/d/11923uPwbBZFjjGgGUA6NLw09EwE0CqkOc4q9oUmW1yo/edit?usp=sharing"",""ตาก!J568"")"),0)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IFERROR(__xludf.DUMMYFUNCTION("IMPORTRANGE(""https://docs.google.com/spreadsheets/d/11923uPwbBZFjjGgGUA6NLw09EwE0CqkOc4q9oUmW1yo/edit?usp=sharing"",""ตาก!J569"")"),0)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IFERROR(__xludf.DUMMYFUNCTION("IMPORTRANGE(""https://docs.google.com/spreadsheets/d/11923uPwbBZFjjGgGUA6NLw09EwE0CqkOc4q9oUmW1yo/edit?usp=sharing"",""ตาก!J570"")"),0)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IFERROR(__xludf.DUMMYFUNCTION("IMPORTRANGE(""https://docs.google.com/spreadsheets/d/11923uPwbBZFjjGgGUA6NLw09EwE0CqkOc4q9oUmW1yo/edit?usp=sharing"",""ตาก!J571"")"),0)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IFERROR(__xludf.DUMMYFUNCTION("IMPORTRANGE(""https://docs.google.com/spreadsheets/d/11923uPwbBZFjjGgGUA6NLw09EwE0CqkOc4q9oUmW1yo/edit?usp=sharing"",""ตาก!J572"")"),0)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268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6452228</v>
      </c>
      <c r="M8" s="23">
        <f t="shared" ca="1" si="0"/>
        <v>3364744.2</v>
      </c>
      <c r="N8" s="23">
        <f t="shared" ca="1" si="0"/>
        <v>3627833.46</v>
      </c>
      <c r="O8" s="22">
        <f t="shared" ref="O8:O16" ca="1" si="1">IF(L8&gt;0,N8*100/L8,0)</f>
        <v>56.226058037626693</v>
      </c>
      <c r="P8" s="22">
        <f t="shared" ref="P8:P16" ca="1" si="2">IF(M8&gt;0,N8*100/M8,0)</f>
        <v>107.81899735498466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6452228</v>
      </c>
      <c r="M10" s="30">
        <f t="shared" ca="1" si="4"/>
        <v>3364744.2</v>
      </c>
      <c r="N10" s="30">
        <f t="shared" ca="1" si="4"/>
        <v>3627833.46</v>
      </c>
      <c r="O10" s="29">
        <f t="shared" ca="1" si="1"/>
        <v>56.226058037626693</v>
      </c>
      <c r="P10" s="29">
        <f t="shared" ca="1" si="2"/>
        <v>107.81899735498466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6254828</v>
      </c>
      <c r="M12" s="39">
        <f t="shared" ca="1" si="6"/>
        <v>3167344.2</v>
      </c>
      <c r="N12" s="39">
        <f t="shared" ca="1" si="6"/>
        <v>3430433.46</v>
      </c>
      <c r="O12" s="39">
        <f t="shared" ca="1" si="1"/>
        <v>54.844569027317775</v>
      </c>
      <c r="P12" s="39">
        <f t="shared" ca="1" si="2"/>
        <v>108.30630469527119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4011928</v>
      </c>
      <c r="M14" s="39">
        <f t="shared" si="8"/>
        <v>0</v>
      </c>
      <c r="N14" s="39">
        <f t="shared" ca="1" si="8"/>
        <v>882463</v>
      </c>
      <c r="O14" s="39">
        <f t="shared" ca="1" si="1"/>
        <v>21.995982978757347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197400</v>
      </c>
      <c r="M16" s="39">
        <f t="shared" ca="1" si="10"/>
        <v>197400</v>
      </c>
      <c r="N16" s="39">
        <f t="shared" ca="1" si="10"/>
        <v>197400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4150115</v>
      </c>
      <c r="M18" s="23">
        <f t="shared" ca="1" si="11"/>
        <v>3364744.2</v>
      </c>
      <c r="N18" s="23">
        <f t="shared" ca="1" si="11"/>
        <v>2745370.46</v>
      </c>
      <c r="O18" s="22">
        <f t="shared" ref="O18:O20" ca="1" si="12">IF(L18&gt;0,N18*100/L18,0)</f>
        <v>66.15167194162089</v>
      </c>
      <c r="P18" s="22">
        <f t="shared" ref="P18:P26" ca="1" si="13">IF(M18&gt;0,N18*100/M18,0)</f>
        <v>81.592248825334181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4150115</v>
      </c>
      <c r="M20" s="30">
        <f t="shared" ca="1" si="15"/>
        <v>3364744.2</v>
      </c>
      <c r="N20" s="30">
        <f t="shared" ca="1" si="15"/>
        <v>2745370.46</v>
      </c>
      <c r="O20" s="29">
        <f t="shared" ca="1" si="12"/>
        <v>66.15167194162089</v>
      </c>
      <c r="P20" s="29">
        <f t="shared" ca="1" si="13"/>
        <v>81.592248825334181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3952715</v>
      </c>
      <c r="M22" s="42">
        <f t="shared" ca="1" si="18"/>
        <v>3167344.2</v>
      </c>
      <c r="N22" s="39">
        <f t="shared" ca="1" si="18"/>
        <v>2547970.46</v>
      </c>
      <c r="O22" s="39">
        <f t="shared" ca="1" si="17"/>
        <v>64.46127433928325</v>
      </c>
      <c r="P22" s="39">
        <f t="shared" ca="1" si="13"/>
        <v>80.445013206963736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1709815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197400</v>
      </c>
      <c r="M26" s="50">
        <f t="shared" ca="1" si="22"/>
        <v>197400</v>
      </c>
      <c r="N26" s="50">
        <f t="shared" ca="1" si="22"/>
        <v>197400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2302113</v>
      </c>
      <c r="M28" s="23">
        <f t="shared" si="23"/>
        <v>0</v>
      </c>
      <c r="N28" s="23">
        <f t="shared" ca="1" si="23"/>
        <v>882463</v>
      </c>
      <c r="O28" s="22">
        <f t="shared" ref="O28:O30" ca="1" si="24">IF(L28&gt;0,N28*100/L28,0)</f>
        <v>38.332740399797927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2302113</v>
      </c>
      <c r="M30" s="30">
        <f t="shared" si="27"/>
        <v>0</v>
      </c>
      <c r="N30" s="30">
        <f t="shared" ca="1" si="27"/>
        <v>882463</v>
      </c>
      <c r="O30" s="29">
        <f t="shared" ca="1" si="24"/>
        <v>38.332740399797927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2302113</v>
      </c>
      <c r="M32" s="39">
        <f t="shared" si="30"/>
        <v>0</v>
      </c>
      <c r="N32" s="39">
        <f t="shared" ca="1" si="30"/>
        <v>882463</v>
      </c>
      <c r="O32" s="39">
        <f t="shared" ca="1" si="29"/>
        <v>38.332740399797927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2302113</v>
      </c>
      <c r="M34" s="39">
        <f t="shared" si="32"/>
        <v>0</v>
      </c>
      <c r="N34" s="39">
        <f t="shared" ca="1" si="32"/>
        <v>882463</v>
      </c>
      <c r="O34" s="39">
        <f t="shared" ca="1" si="29"/>
        <v>38.332740399797927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4150115</v>
      </c>
      <c r="M37" s="55">
        <f t="shared" ca="1" si="33"/>
        <v>3364744.2</v>
      </c>
      <c r="N37" s="55">
        <f t="shared" ca="1" si="33"/>
        <v>2745370.46</v>
      </c>
      <c r="O37" s="56">
        <f t="shared" ca="1" si="29"/>
        <v>66.15167194162089</v>
      </c>
      <c r="P37" s="56">
        <f t="shared" ca="1" si="25"/>
        <v>81.592248825334181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770280</v>
      </c>
      <c r="N41" s="79">
        <f t="shared" ca="1" si="34"/>
        <v>652633.23</v>
      </c>
      <c r="O41" s="78">
        <f t="shared" ref="O41:O43" ca="1" si="35">IF(L41&gt;0,N41*100/L41,0)</f>
        <v>68.539511657214874</v>
      </c>
      <c r="P41" s="78">
        <f t="shared" ref="P41:P43" ca="1" si="36">IF(M41&gt;0,N41*100/M41,0)</f>
        <v>84.726752609440723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770280</v>
      </c>
      <c r="N43" s="79">
        <f t="shared" ca="1" si="38"/>
        <v>652633.23</v>
      </c>
      <c r="O43" s="78">
        <f t="shared" ca="1" si="35"/>
        <v>68.539511657214874</v>
      </c>
      <c r="P43" s="78">
        <f t="shared" ca="1" si="36"/>
        <v>84.726752609440723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IFERROR(__xludf.DUMMYFUNCTION("IMPORTRANGE(""https://docs.google.com/spreadsheets/d/1Yj_ptqi66GCucihVvJfMjLAmec39IyEx_6qawtMGysU/edit?usp=sharing"",""สบก!Q24"")"),770280)</f>
        <v>770280</v>
      </c>
      <c r="N45" s="50">
        <f ca="1">IFERROR(__xludf.DUMMYFUNCTION("IMPORTRANGE(""https://docs.google.com/spreadsheets/d/1Yj_ptqi66GCucihVvJfMjLAmec39IyEx_6qawtMGysU/edit?usp=sharing"",""สบก!R24"")"),652633.23)</f>
        <v>652633.23</v>
      </c>
      <c r="O45" s="39">
        <f ca="1">IF(L45&gt;0,N45*100/L45,0)</f>
        <v>68.539511657214874</v>
      </c>
      <c r="P45" s="39">
        <f ca="1">IF(M45&gt;0,N45*100/M45,0)</f>
        <v>84.726752609440723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406319.2</v>
      </c>
      <c r="N53" s="121">
        <f t="shared" ca="1" si="39"/>
        <v>355631</v>
      </c>
      <c r="O53" s="120">
        <f t="shared" ref="O53:O55" ca="1" si="40">IF(L53&gt;0,N53*100/L53,0)</f>
        <v>79.029111111111106</v>
      </c>
      <c r="P53" s="120">
        <f t="shared" ref="P53:P55" ca="1" si="41">IF(M53&gt;0,N53*100/M53,0)</f>
        <v>87.525029582653247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406319.2</v>
      </c>
      <c r="N55" s="121">
        <f t="shared" ca="1" si="43"/>
        <v>355631</v>
      </c>
      <c r="O55" s="120">
        <f t="shared" ca="1" si="40"/>
        <v>79.029111111111106</v>
      </c>
      <c r="P55" s="120">
        <f t="shared" ca="1" si="41"/>
        <v>87.525029582653247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IFERROR(__xludf.DUMMYFUNCTION("IMPORTRANGE(""https://docs.google.com/spreadsheets/d/1Yj_ptqi66GCucihVvJfMjLAmec39IyEx_6qawtMGysU/edit?usp=sharing"",""สบก!Z24"")"),406319.2)</f>
        <v>406319.2</v>
      </c>
      <c r="N57" s="50">
        <f ca="1">IFERROR(__xludf.DUMMYFUNCTION("IMPORTRANGE(""https://docs.google.com/spreadsheets/d/1Yj_ptqi66GCucihVvJfMjLAmec39IyEx_6qawtMGysU/edit?usp=sharing"",""สบก!AA24"")"),355631)</f>
        <v>355631</v>
      </c>
      <c r="O57" s="39">
        <f ca="1">IF(L57&gt;0,N57*100/L57,0)</f>
        <v>79.029111111111106</v>
      </c>
      <c r="P57" s="39">
        <f ca="1">IF(M57&gt;0,N57*100/M57,0)</f>
        <v>87.525029582653247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605220</v>
      </c>
      <c r="N66" s="152">
        <f t="shared" ca="1" si="45"/>
        <v>573054.53</v>
      </c>
      <c r="O66" s="151">
        <f t="shared" ref="O66:O68" ca="1" si="46">IF(L66&gt;0,N66*100/L66,0)</f>
        <v>76.868481556002678</v>
      </c>
      <c r="P66" s="151">
        <f t="shared" ref="P66:P68" ca="1" si="47">IF(M66&gt;0,N66*100/M66,0)</f>
        <v>94.68532599715806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745500</v>
      </c>
      <c r="M68" s="88">
        <f t="shared" ca="1" si="49"/>
        <v>605220</v>
      </c>
      <c r="N68" s="88">
        <f t="shared" ca="1" si="49"/>
        <v>573054.53</v>
      </c>
      <c r="O68" s="156">
        <f t="shared" ca="1" si="46"/>
        <v>76.868481556002678</v>
      </c>
      <c r="P68" s="156">
        <f t="shared" ca="1" si="47"/>
        <v>94.68532599715806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IFERROR(__xludf.DUMMYFUNCTION("IMPORTRANGE(""https://docs.google.com/spreadsheets/d/1Yj_ptqi66GCucihVvJfMjLAmec39IyEx_6qawtMGysU/edit?usp=sharing"",""สบก!AI24"")"),605220)</f>
        <v>605220</v>
      </c>
      <c r="N70" s="168">
        <f ca="1">IFERROR(__xludf.DUMMYFUNCTION("IMPORTRANGE(""https://docs.google.com/spreadsheets/d/1Yj_ptqi66GCucihVvJfMjLAmec39IyEx_6qawtMGysU/edit?usp=sharing"",""สบก!AJ24"")"),573054.53)</f>
        <v>573054.53</v>
      </c>
      <c r="O70" s="168">
        <f ca="1">IF(L70&gt;0,N70*100/L70,0)</f>
        <v>76.868481556002678</v>
      </c>
      <c r="P70" s="168">
        <f ca="1">IF(M70&gt;0,N70*100/M70,0)</f>
        <v>94.68532599715806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IFERROR(__xludf.DUMMYFUNCTION("IMPORTRANGE(""https://docs.google.com/spreadsheets/d/1Yj_ptqi66GCucihVvJfMjLAmec39IyEx_6qawtMGysU/edit?usp=sharing"",""สบก!AG24"")"),0)</f>
        <v>0</v>
      </c>
      <c r="M74" s="50"/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119540</v>
      </c>
      <c r="O94" s="151">
        <f t="shared" ref="O94:O96" ca="1" si="53">IF(L94&gt;0,N94*100/L94,0)</f>
        <v>55.729603729603731</v>
      </c>
      <c r="P94" s="151">
        <f t="shared" ref="P94:P96" ca="1" si="54">IF(M94&gt;0,N94*100/M94,0)</f>
        <v>61.474377105242858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119540</v>
      </c>
      <c r="O96" s="156">
        <f t="shared" ca="1" si="53"/>
        <v>55.729603729603731</v>
      </c>
      <c r="P96" s="156">
        <f t="shared" ca="1" si="54"/>
        <v>61.474377105242858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IFERROR(__xludf.DUMMYFUNCTION("IMPORTRANGE(""https://docs.google.com/spreadsheets/d/1Yj_ptqi66GCucihVvJfMjLAmec39IyEx_6qawtMGysU/edit?usp=sharing"",""สบก!AR24"")"),102055)</f>
        <v>102055</v>
      </c>
      <c r="N98" s="168">
        <f ca="1">IFERROR(__xludf.DUMMYFUNCTION("IMPORTRANGE(""https://docs.google.com/spreadsheets/d/1Yj_ptqi66GCucihVvJfMjLAmec39IyEx_6qawtMGysU/edit?usp=sharing"",""สบก!AS24"")"),27140)</f>
        <v>27140</v>
      </c>
      <c r="O98" s="168">
        <f ca="1">IF(L98&gt;0,N98*100/L98,0)</f>
        <v>22.227682227682227</v>
      </c>
      <c r="P98" s="168">
        <f ca="1">IF(M98&gt;0,N98*100/M98,0)</f>
        <v>26.593503503013082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50100</v>
      </c>
      <c r="O118" s="151">
        <f t="shared" ref="O118:O120" ca="1" si="59">IF(L118&gt;0,N118*100/L118,0)</f>
        <v>60.771470160116451</v>
      </c>
      <c r="P118" s="151">
        <f t="shared" ref="P118:P120" ca="1" si="60">IF(M118&gt;0,N118*100/M118,0)</f>
        <v>60.771470160116451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50100</v>
      </c>
      <c r="O120" s="156">
        <f t="shared" ca="1" si="59"/>
        <v>60.771470160116451</v>
      </c>
      <c r="P120" s="156">
        <f t="shared" ca="1" si="60"/>
        <v>60.771470160116451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IFERROR(__xludf.DUMMYFUNCTION("IMPORTRANGE(""https://docs.google.com/spreadsheets/d/1Yj_ptqi66GCucihVvJfMjLAmec39IyEx_6qawtMGysU/edit?usp=sharing"",""สบก!BA24"")"),82440)</f>
        <v>82440</v>
      </c>
      <c r="N122" s="168">
        <f ca="1">IFERROR(__xludf.DUMMYFUNCTION("IMPORTRANGE(""https://docs.google.com/spreadsheets/d/1Yj_ptqi66GCucihVvJfMjLAmec39IyEx_6qawtMGysU/edit?usp=sharing"",""สบก!BB24"")"),50100)</f>
        <v>50100</v>
      </c>
      <c r="O122" s="168">
        <f ca="1">IF(L122&gt;0,N122*100/L122,0)</f>
        <v>60.771470160116451</v>
      </c>
      <c r="P122" s="168">
        <f ca="1">IF(M122&gt;0,N122*100/M122,0)</f>
        <v>60.771470160116451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163500</v>
      </c>
      <c r="M140" s="152">
        <f t="shared" ca="1" si="64"/>
        <v>131225</v>
      </c>
      <c r="N140" s="152">
        <f t="shared" ca="1" si="64"/>
        <v>79500</v>
      </c>
      <c r="O140" s="151">
        <f t="shared" ref="O140:O142" ca="1" si="65">IF(L140&gt;0,N140*100/L140,0)</f>
        <v>48.623853211009177</v>
      </c>
      <c r="P140" s="151">
        <f t="shared" ref="P140:P142" ca="1" si="66">IF(M140&gt;0,N140*100/M140,0)</f>
        <v>60.582968184416082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163500</v>
      </c>
      <c r="M142" s="88">
        <f t="shared" ca="1" si="68"/>
        <v>131225</v>
      </c>
      <c r="N142" s="88">
        <f t="shared" ca="1" si="68"/>
        <v>79500</v>
      </c>
      <c r="O142" s="156">
        <f t="shared" ca="1" si="65"/>
        <v>48.623853211009177</v>
      </c>
      <c r="P142" s="156">
        <f t="shared" ca="1" si="66"/>
        <v>60.582968184416082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IFERROR(__xludf.DUMMYFUNCTION("IMPORTRANGE(""https://docs.google.com/spreadsheets/d/1Yj_ptqi66GCucihVvJfMjLAmec39IyEx_6qawtMGysU/edit?usp=sharing"",""สบก!BJ24"")"),131225)</f>
        <v>131225</v>
      </c>
      <c r="N144" s="168">
        <f ca="1">IFERROR(__xludf.DUMMYFUNCTION("IMPORTRANGE(""https://docs.google.com/spreadsheets/d/1Yj_ptqi66GCucihVvJfMjLAmec39IyEx_6qawtMGysU/edit?usp=sharing"",""สบก!BK24"")"),79500)</f>
        <v>79500</v>
      </c>
      <c r="O144" s="168">
        <f ca="1">IF(L144&gt;0,N144*100/L144,0)</f>
        <v>48.623853211009177</v>
      </c>
      <c r="P144" s="168">
        <f ca="1">IF(M144&gt;0,N144*100/M144,0)</f>
        <v>60.582968184416082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53144</v>
      </c>
      <c r="O250" s="151">
        <f t="shared" ref="O250:O252" ca="1" si="78">IF(L250&gt;0,N250*100/L250,0)</f>
        <v>59.7123595505618</v>
      </c>
      <c r="P250" s="151">
        <f t="shared" ref="P250:P252" ca="1" si="79">IF(M250&gt;0,N250*100/M250,0)</f>
        <v>111.8821052631579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47500</v>
      </c>
      <c r="N252" s="88">
        <f t="shared" ca="1" si="81"/>
        <v>53144</v>
      </c>
      <c r="O252" s="156">
        <f t="shared" ca="1" si="78"/>
        <v>59.7123595505618</v>
      </c>
      <c r="P252" s="156">
        <f t="shared" ca="1" si="79"/>
        <v>111.8821052631579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IFERROR(__xludf.DUMMYFUNCTION("IMPORTRANGE(""https://docs.google.com/spreadsheets/d/1Yj_ptqi66GCucihVvJfMjLAmec39IyEx_6qawtMGysU/edit?usp=sharing"",""สบก!CB24"")"),47500)</f>
        <v>47500</v>
      </c>
      <c r="N254" s="168">
        <f ca="1">IFERROR(__xludf.DUMMYFUNCTION("IMPORTRANGE(""https://docs.google.com/spreadsheets/d/1Yj_ptqi66GCucihVvJfMjLAmec39IyEx_6qawtMGysU/edit?usp=sharing"",""สบก!CC24"")"),53144)</f>
        <v>53144</v>
      </c>
      <c r="O254" s="168">
        <f ca="1">IF(L254&gt;0,N254*100/L254,0)</f>
        <v>59.7123595505618</v>
      </c>
      <c r="P254" s="168">
        <f ca="1">IF(M254&gt;0,N254*100/M254,0)</f>
        <v>111.8821052631579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94928</v>
      </c>
      <c r="O271" s="151">
        <f t="shared" ref="O271:O273" ca="1" si="84">IF(L271&gt;0,N271*100/L271,0)</f>
        <v>51.703703703703702</v>
      </c>
      <c r="P271" s="151">
        <f t="shared" ref="P271:P273" ca="1" si="85">IF(M271&gt;0,N271*100/M271,0)</f>
        <v>58.742574257425744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94928</v>
      </c>
      <c r="O273" s="156">
        <f t="shared" ca="1" si="84"/>
        <v>51.703703703703702</v>
      </c>
      <c r="P273" s="156">
        <f t="shared" ca="1" si="85"/>
        <v>58.742574257425744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IFERROR(__xludf.DUMMYFUNCTION("IMPORTRANGE(""https://docs.google.com/spreadsheets/d/1Yj_ptqi66GCucihVvJfMjLAmec39IyEx_6qawtMGysU/edit?usp=sharing"",""สบก!CK24"")"),161600)</f>
        <v>161600</v>
      </c>
      <c r="N275" s="168">
        <f ca="1">IFERROR(__xludf.DUMMYFUNCTION("IMPORTRANGE(""https://docs.google.com/spreadsheets/d/1Yj_ptqi66GCucihVvJfMjLAmec39IyEx_6qawtMGysU/edit?usp=sharing"",""สบก!CL24"")"),94928)</f>
        <v>94928</v>
      </c>
      <c r="O275" s="168">
        <f ca="1">IF(L275&gt;0,N275*100/L275,0)</f>
        <v>51.703703703703702</v>
      </c>
      <c r="P275" s="168">
        <f ca="1">IF(M275&gt;0,N275*100/M275,0)</f>
        <v>58.742574257425744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IFERROR(__xludf.DUMMYFUNCTION("IMPORTRANGE(""https://docs.google.com/spreadsheets/d/11923uPwbBZFjjGgGUA6NLw09EwE0CqkOc4q9oUmW1yo/edit?usp=sharing"",""นครสวรรค์!J228"")"),26)</f>
        <v>26</v>
      </c>
      <c r="K328" s="317">
        <f ca="1">IF(I328&gt;0,J328*100/I328,0)</f>
        <v>5.739514348785872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1248250</v>
      </c>
      <c r="M329" s="152">
        <f t="shared" ca="1" si="98"/>
        <v>944580</v>
      </c>
      <c r="N329" s="152">
        <f t="shared" ca="1" si="98"/>
        <v>745714.7</v>
      </c>
      <c r="O329" s="151">
        <f t="shared" ref="O329:O331" ca="1" si="99">IF(L329&gt;0,N329*100/L329,0)</f>
        <v>59.740813138393754</v>
      </c>
      <c r="P329" s="151">
        <f t="shared" ref="P329:P331" ca="1" si="100">IF(M329&gt;0,N329*100/M329,0)</f>
        <v>78.946695886002246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1248250</v>
      </c>
      <c r="M331" s="88">
        <f t="shared" ca="1" si="102"/>
        <v>944580</v>
      </c>
      <c r="N331" s="88">
        <f t="shared" ca="1" si="102"/>
        <v>745714.7</v>
      </c>
      <c r="O331" s="156">
        <f t="shared" ca="1" si="99"/>
        <v>59.740813138393754</v>
      </c>
      <c r="P331" s="156">
        <f t="shared" ca="1" si="100"/>
        <v>78.946695886002246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1143250</v>
      </c>
      <c r="M333" s="167">
        <f ca="1">IFERROR(__xludf.DUMMYFUNCTION("IMPORTRANGE(""https://docs.google.com/spreadsheets/d/1Yj_ptqi66GCucihVvJfMjLAmec39IyEx_6qawtMGysU/edit?usp=sharing"",""สบก!DL24"")"),839580)</f>
        <v>839580</v>
      </c>
      <c r="N333" s="168">
        <f ca="1">IFERROR(__xludf.DUMMYFUNCTION("IMPORTRANGE(""https://docs.google.com/spreadsheets/d/1Yj_ptqi66GCucihVvJfMjLAmec39IyEx_6qawtMGysU/edit?usp=sharing"",""สบก!DM24"")"),640714.7)</f>
        <v>640714.69999999995</v>
      </c>
      <c r="O333" s="168">
        <f ca="1">IF(L333&gt;0,N333*100/L333,0)</f>
        <v>56.043271375464677</v>
      </c>
      <c r="P333" s="168">
        <f ca="1">IF(M333&gt;0,N333*100/M333,0)</f>
        <v>76.313716382000521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IFERROR(__xludf.DUMMYFUNCTION("IMPORTRANGE(""https://docs.google.com/spreadsheets/d/1Yj_ptqi66GCucihVvJfMjLAmec39IyEx_6qawtMGysU/edit?usp=sharing"",""สบก!DI24"")"),614050)</f>
        <v>614050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IFERROR(__xludf.DUMMYFUNCTION("IMPORTRANGE(""https://docs.google.com/spreadsheets/d/1Yj_ptqi66GCucihVvJfMjLAmec39IyEx_6qawtMGysU/edit?usp=sharing"",""สบก!DJ24"")"),105000)</f>
        <v>105000</v>
      </c>
      <c r="M337" s="50">
        <f ca="1">L337</f>
        <v>105000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IFERROR(__xludf.DUMMYFUNCTION("IMPORTRANGE(""https://docs.google.com/spreadsheets/d/11923uPwbBZFjjGgGUA6NLw09EwE0CqkOc4q9oUmW1yo/edit?usp=sharing"",""นครสวรรค์!J234"")"),447)</f>
        <v>447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IFERROR(__xludf.DUMMYFUNCTION("IMPORTRANGE(""https://docs.google.com/spreadsheets/d/11923uPwbBZFjjGgGUA6NLw09EwE0CqkOc4q9oUmW1yo/edit?usp=sharing"",""นครสวรรค์!J235"")"),3338.77)</f>
        <v>3338.77</v>
      </c>
      <c r="K340" s="342">
        <f t="shared" ca="1" si="103"/>
        <v>74.194888888888883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IFERROR(__xludf.DUMMYFUNCTION("IMPORTRANGE(""https://docs.google.com/spreadsheets/d/11923uPwbBZFjjGgGUA6NLw09EwE0CqkOc4q9oUmW1yo/edit?usp=sharing"",""นครสวรรค์!J236"")"),113)</f>
        <v>113</v>
      </c>
      <c r="K341" s="342">
        <f t="shared" ca="1" si="103"/>
        <v>24.944812362030905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IFERROR(__xludf.DUMMYFUNCTION("IMPORTRANGE(""https://docs.google.com/spreadsheets/d/11923uPwbBZFjjGgGUA6NLw09EwE0CqkOc4q9oUmW1yo/edit?usp=sharing"",""นครสวรรค์!J237"")"),1208.9)</f>
        <v>1208.9000000000001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IFERROR(__xludf.DUMMYFUNCTION("IMPORTRANGE(""https://docs.google.com/spreadsheets/d/11923uPwbBZFjjGgGUA6NLw09EwE0CqkOc4q9oUmW1yo/edit?usp=sharing"",""นครสวรรค์!J240"")"),26)</f>
        <v>26</v>
      </c>
      <c r="K345" s="342">
        <f t="shared" ca="1" si="103"/>
        <v>5.739514348785872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IFERROR(__xludf.DUMMYFUNCTION("IMPORTRANGE(""https://docs.google.com/spreadsheets/d/11923uPwbBZFjjGgGUA6NLw09EwE0CqkOc4q9oUmW1yo/edit?usp=sharing"",""นครสวรรค์!J241"")"),485.88)</f>
        <v>485.88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IFERROR(__xludf.DUMMYFUNCTION("IMPORTRANGE(""https://docs.google.com/spreadsheets/d/11923uPwbBZFjjGgGUA6NLw09EwE0CqkOc4q9oUmW1yo/edit?usp=sharing"",""นครสวรรค์!L242"")"),2302113)</f>
        <v>2302113</v>
      </c>
      <c r="M347" s="357"/>
      <c r="N347" s="357">
        <f ca="1">IFERROR(__xludf.DUMMYFUNCTION("IMPORTRANGE(""https://docs.google.com/spreadsheets/d/11923uPwbBZFjjGgGUA6NLw09EwE0CqkOc4q9oUmW1yo/edit?usp=sharing"",""นครสวรรค์!M242"")"),882463)</f>
        <v>882463</v>
      </c>
      <c r="O347" s="357">
        <f ca="1">+IF(L347&gt;0,N347*100/L347,0)</f>
        <v>38.332740399797927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IFERROR(__xludf.DUMMYFUNCTION("IMPORTRANGE(""https://docs.google.com/spreadsheets/d/11923uPwbBZFjjGgGUA6NLw09EwE0CqkOc4q9oUmW1yo/edit?usp=sharing"",""นครสวรรค์!J244"")"),40)</f>
        <v>40</v>
      </c>
      <c r="K349" s="371">
        <f t="shared" ref="K349:K350" ca="1" si="104">IF(I349&gt;0,J349*100/I349,0)</f>
        <v>36.363636363636367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IFERROR(__xludf.DUMMYFUNCTION("IMPORTRANGE(""https://docs.google.com/spreadsheets/d/11923uPwbBZFjjGgGUA6NLw09EwE0CqkOc4q9oUmW1yo/edit?usp=sharing"",""นครสวรรค์!M244"")"),176183)</f>
        <v>176183</v>
      </c>
      <c r="O349" s="372">
        <f ca="1">+IF(L349&gt;0,N349*100/L349,0)</f>
        <v>49.764991667372819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IFERROR(__xludf.DUMMYFUNCTION("IMPORTRANGE(""https://docs.google.com/spreadsheets/d/11923uPwbBZFjjGgGUA6NLw09EwE0CqkOc4q9oUmW1yo/edit?usp=sharing"",""นครสวรรค์!M247"")"),176183)</f>
        <v>176183</v>
      </c>
      <c r="O352" s="165">
        <f t="shared" ca="1" si="105"/>
        <v>49.764991667372819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IFERROR(__xludf.DUMMYFUNCTION("IMPORTRANGE(""https://docs.google.com/spreadsheets/d/11923uPwbBZFjjGgGUA6NLw09EwE0CqkOc4q9oUmW1yo/edit?usp=sharing"",""นครสวรรค์!M249"")"),176183)</f>
        <v>176183</v>
      </c>
      <c r="O354" s="168">
        <f t="shared" ca="1" si="105"/>
        <v>49.764991667372819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IFERROR(__xludf.DUMMYFUNCTION("IMPORTRANGE(""https://docs.google.com/spreadsheets/d/11923uPwbBZFjjGgGUA6NLw09EwE0CqkOc4q9oUmW1yo/edit?usp=sharing"",""นครสวรรค์!M251"")"),35400)</f>
        <v>35400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IFERROR(__xludf.DUMMYFUNCTION("IMPORTRANGE(""https://docs.google.com/spreadsheets/d/11923uPwbBZFjjGgGUA6NLw09EwE0CqkOc4q9oUmW1yo/edit?usp=sharing"",""นครสวรรค์!M252"")"),63798)</f>
        <v>63798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IFERROR(__xludf.DUMMYFUNCTION("IMPORTRANGE(""https://docs.google.com/spreadsheets/d/11923uPwbBZFjjGgGUA6NLw09EwE0CqkOc4q9oUmW1yo/edit?usp=sharing"",""นครสวรรค์!M253"")"),9485)</f>
        <v>9485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IFERROR(__xludf.DUMMYFUNCTION("IMPORTRANGE(""https://docs.google.com/spreadsheets/d/11923uPwbBZFjjGgGUA6NLw09EwE0CqkOc4q9oUmW1yo/edit?usp=sharing"",""นครสวรรค์!M275"")"),209001)</f>
        <v>209001</v>
      </c>
      <c r="O380" s="372">
        <f ca="1">+IF(L380&gt;0,N380*100/L380,0)</f>
        <v>20.320557694551393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IFERROR(__xludf.DUMMYFUNCTION("IMPORTRANGE(""https://docs.google.com/spreadsheets/d/11923uPwbBZFjjGgGUA6NLw09EwE0CqkOc4q9oUmW1yo/edit?usp=sharing"",""นครสวรรค์!M278"")"),209001)</f>
        <v>209001</v>
      </c>
      <c r="O383" s="165">
        <f t="shared" ca="1" si="109"/>
        <v>20.320557694551393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IFERROR(__xludf.DUMMYFUNCTION("IMPORTRANGE(""https://docs.google.com/spreadsheets/d/11923uPwbBZFjjGgGUA6NLw09EwE0CqkOc4q9oUmW1yo/edit?usp=sharing"",""นครสวรรค์!M280"")"),209001)</f>
        <v>209001</v>
      </c>
      <c r="O385" s="168">
        <f t="shared" ca="1" si="109"/>
        <v>20.320557694551393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IFERROR(__xludf.DUMMYFUNCTION("IMPORTRANGE(""https://docs.google.com/spreadsheets/d/11923uPwbBZFjjGgGUA6NLw09EwE0CqkOc4q9oUmW1yo/edit?usp=sharing"",""นครสวรรค์!M281"")"),140565)</f>
        <v>140565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IFERROR(__xludf.DUMMYFUNCTION("IMPORTRANGE(""https://docs.google.com/spreadsheets/d/11923uPwbBZFjjGgGUA6NLw09EwE0CqkOc4q9oUmW1yo/edit?usp=sharing"",""นครสวรรค์!M283"")"),61596)</f>
        <v>61596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IFERROR(__xludf.DUMMYFUNCTION("IMPORTRANGE(""https://docs.google.com/spreadsheets/d/11923uPwbBZFjjGgGUA6NLw09EwE0CqkOc4q9oUmW1yo/edit?usp=sharing"",""นครสวรรค์!M284"")"),6840)</f>
        <v>6840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IFERROR(__xludf.DUMMYFUNCTION("IMPORTRANGE(""https://docs.google.com/spreadsheets/d/11923uPwbBZFjjGgGUA6NLw09EwE0CqkOc4q9oUmW1yo/edit?usp=sharing"",""นครสวรรค์!M296"")"),132250)</f>
        <v>132250</v>
      </c>
      <c r="O401" s="372">
        <f ca="1">+IF(L401&gt;0,N401*100/L401,0)</f>
        <v>82.682088152547678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IFERROR(__xludf.DUMMYFUNCTION("IMPORTRANGE(""https://docs.google.com/spreadsheets/d/11923uPwbBZFjjGgGUA6NLw09EwE0CqkOc4q9oUmW1yo/edit?usp=sharing"",""นครสวรรค์!M299"")"),132250)</f>
        <v>132250</v>
      </c>
      <c r="O404" s="168">
        <f t="shared" ca="1" si="112"/>
        <v>82.682088152547678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IFERROR(__xludf.DUMMYFUNCTION("IMPORTRANGE(""https://docs.google.com/spreadsheets/d/11923uPwbBZFjjGgGUA6NLw09EwE0CqkOc4q9oUmW1yo/edit?usp=sharing"",""นครสวรรค์!M301"")"),132250)</f>
        <v>132250</v>
      </c>
      <c r="O406" s="168">
        <f t="shared" ca="1" si="112"/>
        <v>82.682088152547678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IFERROR(__xludf.DUMMYFUNCTION("IMPORTRANGE(""https://docs.google.com/spreadsheets/d/11923uPwbBZFjjGgGUA6NLw09EwE0CqkOc4q9oUmW1yo/edit?usp=sharing"",""นครสวรรค์!M305"")"),2200)</f>
        <v>2200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IFERROR(__xludf.DUMMYFUNCTION("IMPORTRANGE(""https://docs.google.com/spreadsheets/d/11923uPwbBZFjjGgGUA6NLw09EwE0CqkOc4q9oUmW1yo/edit?usp=sharing"",""นครสวรรค์!M350"")"),185645)</f>
        <v>185645</v>
      </c>
      <c r="O455" s="372">
        <f t="shared" ref="O455:O459" ca="1" si="116">+IF(L455&gt;0,N455*100/L455,0)</f>
        <v>39.185204416554271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IFERROR(__xludf.DUMMYFUNCTION("IMPORTRANGE(""https://docs.google.com/spreadsheets/d/11923uPwbBZFjjGgGUA6NLw09EwE0CqkOc4q9oUmW1yo/edit?usp=sharing"",""นครสวรรค์!M352"")"),185645)</f>
        <v>185645</v>
      </c>
      <c r="O457" s="168">
        <f t="shared" ca="1" si="116"/>
        <v>39.185204416554271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IFERROR(__xludf.DUMMYFUNCTION("IMPORTRANGE(""https://docs.google.com/spreadsheets/d/11923uPwbBZFjjGgGUA6NLw09EwE0CqkOc4q9oUmW1yo/edit?usp=sharing"",""นครสวรรค์!M354"")"),185645)</f>
        <v>185645</v>
      </c>
      <c r="O459" s="168">
        <f t="shared" ca="1" si="116"/>
        <v>39.185204416554271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IFERROR(__xludf.DUMMYFUNCTION("IMPORTRANGE(""https://docs.google.com/spreadsheets/d/11923uPwbBZFjjGgGUA6NLw09EwE0CqkOc4q9oUmW1yo/edit?usp=sharing"",""นครสวรรค์!M358"")"),185645)</f>
        <v>185645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1">
        <f t="shared" ca="1" si="117"/>
        <v>100.00210979641552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IFERROR(__xludf.DUMMYFUNCTION("IMPORTRANGE(""https://docs.google.com/spreadsheets/d/11923uPwbBZFjjGgGUA6NLw09EwE0CqkOc4q9oUmW1yo/edit?usp=sharing"",""นครสวรรค์!J372"")"),7556.46)</f>
        <v>7556.46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IFERROR(__xludf.DUMMYFUNCTION("IMPORTRANGE(""https://docs.google.com/spreadsheets/d/11923uPwbBZFjjGgGUA6NLw09EwE0CqkOc4q9oUmW1yo/edit?usp=sharing"",""นครสวรรค์!J378"")"),40326)</f>
        <v>40326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IFERROR(__xludf.DUMMYFUNCTION("IMPORTRANGE(""https://docs.google.com/spreadsheets/d/11923uPwbBZFjjGgGUA6NLw09EwE0CqkOc4q9oUmW1yo/edit?usp=sharing"",""นครสวรรค์!J379"")"),3067)</f>
        <v>3067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IFERROR(__xludf.DUMMYFUNCTION("IMPORTRANGE(""https://docs.google.com/spreadsheets/d/11923uPwbBZFjjGgGUA6NLw09EwE0CqkOc4q9oUmW1yo/edit?usp=sharing"",""นครสวรรค์!J380"")"),63)</f>
        <v>63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IFERROR(__xludf.DUMMYFUNCTION("IMPORTRANGE(""https://docs.google.com/spreadsheets/d/11923uPwbBZFjjGgGUA6NLw09EwE0CqkOc4q9oUmW1yo/edit?usp=sharing"",""นครสวรรค์!J381"")"),14)</f>
        <v>14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IFERROR(__xludf.DUMMYFUNCTION("IMPORTRANGE(""https://docs.google.com/spreadsheets/d/11923uPwbBZFjjGgGUA6NLw09EwE0CqkOc4q9oUmW1yo/edit?usp=sharing"",""นครสวรรค์!J382"")"),1252)</f>
        <v>1252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IFERROR(__xludf.DUMMYFUNCTION("IMPORTRANGE(""https://docs.google.com/spreadsheets/d/11923uPwbBZFjjGgGUA6NLw09EwE0CqkOc4q9oUmW1yo/edit?usp=sharing"",""นครสวรรค์!J383"")"),111)</f>
        <v>111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IFERROR(__xludf.DUMMYFUNCTION("IMPORTRANGE(""https://docs.google.com/spreadsheets/d/11923uPwbBZFjjGgGUA6NLw09EwE0CqkOc4q9oUmW1yo/edit?usp=sharing"",""นครสวรรค์!J384"")"),1252)</f>
        <v>1252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IFERROR(__xludf.DUMMYFUNCTION("IMPORTRANGE(""https://docs.google.com/spreadsheets/d/11923uPwbBZFjjGgGUA6NLw09EwE0CqkOc4q9oUmW1yo/edit?usp=sharing"",""นครสวรรค์!J385"")"),111)</f>
        <v>111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IFERROR(__xludf.DUMMYFUNCTION("IMPORTRANGE(""https://docs.google.com/spreadsheets/d/11923uPwbBZFjjGgGUA6NLw09EwE0CqkOc4q9oUmW1yo/edit?usp=sharing"",""นครสวรรค์!J388"")"),4336)</f>
        <v>4336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IFERROR(__xludf.DUMMYFUNCTION("IMPORTRANGE(""https://docs.google.com/spreadsheets/d/11923uPwbBZFjjGgGUA6NLw09EwE0CqkOc4q9oUmW1yo/edit?usp=sharing"",""นครสวรรค์!J389"")"),255)</f>
        <v>255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IFERROR(__xludf.DUMMYFUNCTION("IMPORTRANGE(""https://docs.google.com/spreadsheets/d/11923uPwbBZFjjGgGUA6NLw09EwE0CqkOc4q9oUmW1yo/edit?usp=sharing"",""นครสวรรค์!J392"")"),7615)</f>
        <v>7615</v>
      </c>
      <c r="K497" s="444">
        <f t="shared" ca="1" si="117"/>
        <v>53.397377463011011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IFERROR(__xludf.DUMMYFUNCTION("IMPORTRANGE(""https://docs.google.com/spreadsheets/d/11923uPwbBZFjjGgGUA6NLw09EwE0CqkOc4q9oUmW1yo/edit?usp=sharing"",""นครสวรรค์!J393"")"),7615)</f>
        <v>7615</v>
      </c>
      <c r="K498" s="163">
        <f t="shared" ca="1" si="117"/>
        <v>53.397377463011011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IFERROR(__xludf.DUMMYFUNCTION("IMPORTRANGE(""https://docs.google.com/spreadsheets/d/11923uPwbBZFjjGgGUA6NLw09EwE0CqkOc4q9oUmW1yo/edit?usp=sharing"",""นครสวรรค์!J394"")"),422)</f>
        <v>422</v>
      </c>
      <c r="K499" s="201">
        <f t="shared" ca="1" si="117"/>
        <v>54.805194805194802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IFERROR(__xludf.DUMMYFUNCTION("IMPORTRANGE(""https://docs.google.com/spreadsheets/d/11923uPwbBZFjjGgGUA6NLw09EwE0CqkOc4q9oUmW1yo/edit?usp=sharing"",""นครสวรรค์!J395"")"),7521)</f>
        <v>7521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IFERROR(__xludf.DUMMYFUNCTION("IMPORTRANGE(""https://docs.google.com/spreadsheets/d/11923uPwbBZFjjGgGUA6NLw09EwE0CqkOc4q9oUmW1yo/edit?usp=sharing"",""นครสวรรค์!J396"")"),415)</f>
        <v>415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IFERROR(__xludf.DUMMYFUNCTION("IMPORTRANGE(""https://docs.google.com/spreadsheets/d/11923uPwbBZFjjGgGUA6NLw09EwE0CqkOc4q9oUmW1yo/edit?usp=sharing"",""นครสวรรค์!J397"")"),2388)</f>
        <v>2388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IFERROR(__xludf.DUMMYFUNCTION("IMPORTRANGE(""https://docs.google.com/spreadsheets/d/11923uPwbBZFjjGgGUA6NLw09EwE0CqkOc4q9oUmW1yo/edit?usp=sharing"",""นครสวรรค์!J398"")"),128)</f>
        <v>128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IFERROR(__xludf.DUMMYFUNCTION("IMPORTRANGE(""https://docs.google.com/spreadsheets/d/11923uPwbBZFjjGgGUA6NLw09EwE0CqkOc4q9oUmW1yo/edit?usp=sharing"",""นครสวรรค์!J399"")"),5133)</f>
        <v>5133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IFERROR(__xludf.DUMMYFUNCTION("IMPORTRANGE(""https://docs.google.com/spreadsheets/d/11923uPwbBZFjjGgGUA6NLw09EwE0CqkOc4q9oUmW1yo/edit?usp=sharing"",""นครสวรรค์!J400"")"),287)</f>
        <v>287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IFERROR(__xludf.DUMMYFUNCTION("IMPORTRANGE(""https://docs.google.com/spreadsheets/d/11923uPwbBZFjjGgGUA6NLw09EwE0CqkOc4q9oUmW1yo/edit?usp=sharing"",""นครสวรรค์!J403"")"),68)</f>
        <v>68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IFERROR(__xludf.DUMMYFUNCTION("IMPORTRANGE(""https://docs.google.com/spreadsheets/d/11923uPwbBZFjjGgGUA6NLw09EwE0CqkOc4q9oUmW1yo/edit?usp=sharing"",""นครสวรรค์!J407"")"),48)</f>
        <v>48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IFERROR(__xludf.DUMMYFUNCTION("IMPORTRANGE(""https://docs.google.com/spreadsheets/d/11923uPwbBZFjjGgGUA6NLw09EwE0CqkOc4q9oUmW1yo/edit?usp=sharing"",""นครสวรรค์!J408"")"),2)</f>
        <v>2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IFERROR(__xludf.DUMMYFUNCTION("IMPORTRANGE(""https://docs.google.com/spreadsheets/d/11923uPwbBZFjjGgGUA6NLw09EwE0CqkOc4q9oUmW1yo/edit?usp=sharing"",""นครสวรรค์!J409"")"),26)</f>
        <v>26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IFERROR(__xludf.DUMMYFUNCTION("IMPORTRANGE(""https://docs.google.com/spreadsheets/d/11923uPwbBZFjjGgGUA6NLw09EwE0CqkOc4q9oUmW1yo/edit?usp=sharing"",""นครสวรรค์!J410"")"),4)</f>
        <v>4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IFERROR(__xludf.DUMMYFUNCTION("IMPORTRANGE(""https://docs.google.com/spreadsheets/d/11923uPwbBZFjjGgGUA6NLw09EwE0CqkOc4q9oUmW1yo/edit?usp=sharing"",""นครสวรรค์!J420"")"),479)</f>
        <v>479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IFERROR(__xludf.DUMMYFUNCTION("IMPORTRANGE(""https://docs.google.com/spreadsheets/d/11923uPwbBZFjjGgGUA6NLw09EwE0CqkOc4q9oUmW1yo/edit?usp=sharing"",""นครสวรรค์!J421"")"),37)</f>
        <v>37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IFERROR(__xludf.DUMMYFUNCTION("IMPORTRANGE(""https://docs.google.com/spreadsheets/d/11923uPwbBZFjjGgGUA6NLw09EwE0CqkOc4q9oUmW1yo/edit?usp=sharing"",""นครสวรรค์!J422"")"),238)</f>
        <v>238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IFERROR(__xludf.DUMMYFUNCTION("IMPORTRANGE(""https://docs.google.com/spreadsheets/d/11923uPwbBZFjjGgGUA6NLw09EwE0CqkOc4q9oUmW1yo/edit?usp=sharing"",""นครสวรรค์!J423"")"),11)</f>
        <v>11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IFERROR(__xludf.DUMMYFUNCTION("IMPORTRANGE(""https://docs.google.com/spreadsheets/d/11923uPwbBZFjjGgGUA6NLw09EwE0CqkOc4q9oUmW1yo/edit?usp=sharing"",""นครสวรรค์!J424"")"),216)</f>
        <v>216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IFERROR(__xludf.DUMMYFUNCTION("IMPORTRANGE(""https://docs.google.com/spreadsheets/d/11923uPwbBZFjjGgGUA6NLw09EwE0CqkOc4q9oUmW1yo/edit?usp=sharing"",""นครสวรรค์!J426"")"),25)</f>
        <v>25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IFERROR(__xludf.DUMMYFUNCTION("IMPORTRANGE(""https://docs.google.com/spreadsheets/d/11923uPwbBZFjjGgGUA6NLw09EwE0CqkOc4q9oUmW1yo/edit?usp=sharing"",""นครสวรรค์!M428"")"),21745)</f>
        <v>21745</v>
      </c>
      <c r="O533" s="411">
        <f t="shared" ref="O533:O537" ca="1" si="118">+IF(L533&gt;0,N533*100/L533,0)</f>
        <v>63.322655794991263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IFERROR(__xludf.DUMMYFUNCTION("IMPORTRANGE(""https://docs.google.com/spreadsheets/d/11923uPwbBZFjjGgGUA6NLw09EwE0CqkOc4q9oUmW1yo/edit?usp=sharing"",""นครสวรรค์!M430"")"),21745)</f>
        <v>21745</v>
      </c>
      <c r="O535" s="168">
        <f t="shared" ca="1" si="118"/>
        <v>63.322655794991263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IFERROR(__xludf.DUMMYFUNCTION("IMPORTRANGE(""https://docs.google.com/spreadsheets/d/11923uPwbBZFjjGgGUA6NLw09EwE0CqkOc4q9oUmW1yo/edit?usp=sharing"",""นครสวรรค์!M432"")"),21745)</f>
        <v>21745</v>
      </c>
      <c r="O537" s="168">
        <f t="shared" ca="1" si="118"/>
        <v>63.322655794991263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IFERROR(__xludf.DUMMYFUNCTION("IMPORTRANGE(""https://docs.google.com/spreadsheets/d/11923uPwbBZFjjGgGUA6NLw09EwE0CqkOc4q9oUmW1yo/edit?usp=sharing"",""นครสวรรค์!M436"")"),3005)</f>
        <v>3005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IFERROR(__xludf.DUMMYFUNCTION("IMPORTRANGE(""https://docs.google.com/spreadsheets/d/11923uPwbBZFjjGgGUA6NLw09EwE0CqkOc4q9oUmW1yo/edit?usp=sharing"",""นครสวรรค์!J459"")"),2507)</f>
        <v>2507</v>
      </c>
      <c r="K564" s="371">
        <f ca="1">IF(I564&gt;0,J564*100/I564,0)</f>
        <v>91.163636363636357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IFERROR(__xludf.DUMMYFUNCTION("IMPORTRANGE(""https://docs.google.com/spreadsheets/d/11923uPwbBZFjjGgGUA6NLw09EwE0CqkOc4q9oUmW1yo/edit?usp=sharing"",""นครสวรรค์!M459"")"),86247)</f>
        <v>86247</v>
      </c>
      <c r="O564" s="372">
        <f t="shared" ref="O564:O568" ca="1" si="122">+IF(L564&gt;0,N564*100/L564,0)</f>
        <v>61.534674657534246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IFERROR(__xludf.DUMMYFUNCTION("IMPORTRANGE(""https://docs.google.com/spreadsheets/d/11923uPwbBZFjjGgGUA6NLw09EwE0CqkOc4q9oUmW1yo/edit?usp=sharing"",""นครสวรรค์!M461"")"),86247)</f>
        <v>86247</v>
      </c>
      <c r="O566" s="168">
        <f t="shared" ca="1" si="122"/>
        <v>61.534674657534246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IFERROR(__xludf.DUMMYFUNCTION("IMPORTRANGE(""https://docs.google.com/spreadsheets/d/11923uPwbBZFjjGgGUA6NLw09EwE0CqkOc4q9oUmW1yo/edit?usp=sharing"",""นครสวรรค์!M463"")"),86247)</f>
        <v>86247</v>
      </c>
      <c r="O568" s="168">
        <f t="shared" ca="1" si="122"/>
        <v>61.534674657534246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IFERROR(__xludf.DUMMYFUNCTION("IMPORTRANGE(""https://docs.google.com/spreadsheets/d/11923uPwbBZFjjGgGUA6NLw09EwE0CqkOc4q9oUmW1yo/edit?usp=sharing"",""นครสวรรค์!M466"")"),63798)</f>
        <v>63798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IFERROR(__xludf.DUMMYFUNCTION("IMPORTRANGE(""https://docs.google.com/spreadsheets/d/11923uPwbBZFjjGgGUA6NLw09EwE0CqkOc4q9oUmW1yo/edit?usp=sharing"",""นครสวรรค์!M467"")"),22449)</f>
        <v>22449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IFERROR(__xludf.DUMMYFUNCTION("IMPORTRANGE(""https://docs.google.com/spreadsheets/d/11923uPwbBZFjjGgGUA6NLw09EwE0CqkOc4q9oUmW1yo/edit?usp=sharing"",""นครสวรรค์!J468"")"),2507)</f>
        <v>2507</v>
      </c>
      <c r="K573" s="201">
        <f ca="1">IF(I573&gt;0,J573*100/I573,0)</f>
        <v>91.163636363636357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IFERROR(__xludf.DUMMYFUNCTION("IMPORTRANGE(""https://docs.google.com/spreadsheets/d/11923uPwbBZFjjGgGUA6NLw09EwE0CqkOc4q9oUmW1yo/edit?usp=sharing"",""นครสวรรค์!J472"")"),2184)</f>
        <v>2184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IFERROR(__xludf.DUMMYFUNCTION("IMPORTRANGE(""https://docs.google.com/spreadsheets/d/11923uPwbBZFjjGgGUA6NLw09EwE0CqkOc4q9oUmW1yo/edit?usp=sharing"",""นครสวรรค์!J473"")"),8)</f>
        <v>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7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IFERROR(__xludf.DUMMYFUNCTION("IMPORTRANGE(""https://docs.google.com/spreadsheets/d/11923uPwbBZFjjGgGUA6NLw09EwE0CqkOc4q9oUmW1yo/edit?usp=sharing"",""นครสวรรค์!J525"")"),611140.24)</f>
        <v>611140.24</v>
      </c>
      <c r="K630" s="342">
        <f t="shared" ca="1" si="129"/>
        <v>12.258515055691706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IFERROR(__xludf.DUMMYFUNCTION("IMPORTRANGE(""https://docs.google.com/spreadsheets/d/11923uPwbBZFjjGgGUA6NLw09EwE0CqkOc4q9oUmW1yo/edit?usp=sharing"",""นครสวรรค์!J526"")"),220)</f>
        <v>220</v>
      </c>
      <c r="K631" s="342">
        <f t="shared" ca="1" si="129"/>
        <v>82.706766917293237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IFERROR(__xludf.DUMMYFUNCTION("IMPORTRANGE(""https://docs.google.com/spreadsheets/d/11923uPwbBZFjjGgGUA6NLw09EwE0CqkOc4q9oUmW1yo/edit?usp=sharing"",""นครสวรรค์!J527"")"),14058709.29)</f>
        <v>14058709.289999999</v>
      </c>
      <c r="K632" s="342">
        <f t="shared" ca="1" si="129"/>
        <v>27.360953621462297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IFERROR(__xludf.DUMMYFUNCTION("IMPORTRANGE(""https://docs.google.com/spreadsheets/d/11923uPwbBZFjjGgGUA6NLw09EwE0CqkOc4q9oUmW1yo/edit?usp=sharing"",""นครสวรรค์!J528"")"),2052)</f>
        <v>2052</v>
      </c>
      <c r="K633" s="342">
        <f t="shared" ca="1" si="129"/>
        <v>47.743136342484874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IFERROR(__xludf.DUMMYFUNCTION("IMPORTRANGE(""https://docs.google.com/spreadsheets/d/11923uPwbBZFjjGgGUA6NLw09EwE0CqkOc4q9oUmW1yo/edit?usp=sharing"",""นครสวรรค์!J529"")"),0)</f>
        <v>0</v>
      </c>
      <c r="K634" s="342">
        <f t="shared" ca="1" si="129"/>
        <v>0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IFERROR(__xludf.DUMMYFUNCTION("IMPORTRANGE(""https://docs.google.com/spreadsheets/d/11923uPwbBZFjjGgGUA6NLw09EwE0CqkOc4q9oUmW1yo/edit?usp=sharing"",""นครสวรรค์!I530"")"),63)</f>
        <v>63</v>
      </c>
      <c r="J635" s="504">
        <f ca="1">IFERROR(__xludf.DUMMYFUNCTION("IMPORTRANGE(""https://docs.google.com/spreadsheets/d/11923uPwbBZFjjGgGUA6NLw09EwE0CqkOc4q9oUmW1yo/edit?usp=sharing"",""นครสวรรค์!J530"")"),0)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138115</v>
      </c>
      <c r="M636" s="510"/>
      <c r="N636" s="509">
        <f ca="1">SUM(N637:N638)</f>
        <v>19450</v>
      </c>
      <c r="O636" s="509">
        <f t="shared" ref="O636:O640" ca="1" si="130">+IF(L636&gt;0,N636*100/L636,0)</f>
        <v>14.082467508959924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138115</v>
      </c>
      <c r="M638" s="520"/>
      <c r="N638" s="521">
        <f ca="1">SUM(N639:N640)</f>
        <v>19450</v>
      </c>
      <c r="O638" s="521">
        <f t="shared" ca="1" si="130"/>
        <v>14.082467508959924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138115</v>
      </c>
      <c r="M640" s="520"/>
      <c r="N640" s="521">
        <f ca="1">SUM(N641:N644)</f>
        <v>19450</v>
      </c>
      <c r="O640" s="521">
        <f t="shared" ca="1" si="130"/>
        <v>14.082467508959924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19450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IFERROR(__xludf.DUMMYFUNCTION("IMPORTRANGE(""https://docs.google.com/spreadsheets/d/11923uPwbBZFjjGgGUA6NLw09EwE0CqkOc4q9oUmW1yo/edit?usp=sharing"",""นครสวรรค์!J541"")"),0)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IFERROR(__xludf.DUMMYFUNCTION("IMPORTRANGE(""https://docs.google.com/spreadsheets/d/11923uPwbBZFjjGgGUA6NLw09EwE0CqkOc4q9oUmW1yo/edit?usp=sharing"",""นครสวรรค์!J542"")"),0)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IFERROR(__xludf.DUMMYFUNCTION("IMPORTRANGE(""https://docs.google.com/spreadsheets/d/11923uPwbBZFjjGgGUA6NLw09EwE0CqkOc4q9oUmW1yo/edit?usp=sharing"",""นครสวรรค์!I543"")"),85)</f>
        <v>85</v>
      </c>
      <c r="J648" s="535">
        <f ca="1">IFERROR(__xludf.DUMMYFUNCTION("IMPORTRANGE(""https://docs.google.com/spreadsheets/d/11923uPwbBZFjjGgGUA6NLw09EwE0CqkOc4q9oUmW1yo/edit?usp=sharing"",""นครสวรรค์!J543"")"),0)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IFERROR(__xludf.DUMMYFUNCTION("IMPORTRANGE(""https://docs.google.com/spreadsheets/d/11923uPwbBZFjjGgGUA6NLw09EwE0CqkOc4q9oUmW1yo/edit?usp=sharing"",""นครสวรรค์!L543"")"),6800)</f>
        <v>6800</v>
      </c>
      <c r="M648" s="520"/>
      <c r="N648" s="537">
        <f ca="1">IFERROR(__xludf.DUMMYFUNCTION("IMPORTRANGE(""https://docs.google.com/spreadsheets/d/11923uPwbBZFjjGgGUA6NLw09EwE0CqkOc4q9oUmW1yo/edit?usp=sharing"",""นครสวรรค์!M543"")"),0)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IFERROR(__xludf.DUMMYFUNCTION("IMPORTRANGE(""https://docs.google.com/spreadsheets/d/11923uPwbBZFjjGgGUA6NLw09EwE0CqkOc4q9oUmW1yo/edit?usp=sharing"",""นครสวรรค์!I544"")"),7)</f>
        <v>7</v>
      </c>
      <c r="J649" s="535">
        <f ca="1">IFERROR(__xludf.DUMMYFUNCTION("IMPORTRANGE(""https://docs.google.com/spreadsheets/d/11923uPwbBZFjjGgGUA6NLw09EwE0CqkOc4q9oUmW1yo/edit?usp=sharing"",""นครสวรรค์!J544"")"),0)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IFERROR(__xludf.DUMMYFUNCTION("IMPORTRANGE(""https://docs.google.com/spreadsheets/d/11923uPwbBZFjjGgGUA6NLw09EwE0CqkOc4q9oUmW1yo/edit?usp=sharing"",""นครสวรรค์!L544"")"),840)</f>
        <v>840</v>
      </c>
      <c r="M649" s="520"/>
      <c r="N649" s="537">
        <f ca="1">IFERROR(__xludf.DUMMYFUNCTION("IMPORTRANGE(""https://docs.google.com/spreadsheets/d/11923uPwbBZFjjGgGUA6NLw09EwE0CqkOc4q9oUmW1yo/edit?usp=sharing"",""นครสวรรค์!M544"")"),0)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IFERROR(__xludf.DUMMYFUNCTION("IMPORTRANGE(""https://docs.google.com/spreadsheets/d/11923uPwbBZFjjGgGUA6NLw09EwE0CqkOc4q9oUmW1yo/edit?usp=sharing"",""นครสวรรค์!I545"")"),1455)</f>
        <v>1455</v>
      </c>
      <c r="J650" s="535">
        <f ca="1">IFERROR(__xludf.DUMMYFUNCTION("IMPORTRANGE(""https://docs.google.com/spreadsheets/d/11923uPwbBZFjjGgGUA6NLw09EwE0CqkOc4q9oUmW1yo/edit?usp=sharing"",""นครสวรรค์!J545"")"),0)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IFERROR(__xludf.DUMMYFUNCTION("IMPORTRANGE(""https://docs.google.com/spreadsheets/d/11923uPwbBZFjjGgGUA6NLw09EwE0CqkOc4q9oUmW1yo/edit?usp=sharing"",""นครสวรรค์!L545"")"),7275)</f>
        <v>7275</v>
      </c>
      <c r="M650" s="520"/>
      <c r="N650" s="537">
        <f ca="1">IFERROR(__xludf.DUMMYFUNCTION("IMPORTRANGE(""https://docs.google.com/spreadsheets/d/11923uPwbBZFjjGgGUA6NLw09EwE0CqkOc4q9oUmW1yo/edit?usp=sharing"",""นครสวรรค์!M545"")"),0)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IFERROR(__xludf.DUMMYFUNCTION("IMPORTRANGE(""https://docs.google.com/spreadsheets/d/11923uPwbBZFjjGgGUA6NLw09EwE0CqkOc4q9oUmW1yo/edit?usp=sharing"",""นครสวรรค์!I546"")"),600)</f>
        <v>600</v>
      </c>
      <c r="J651" s="535">
        <f ca="1">J657+J660</f>
        <v>820</v>
      </c>
      <c r="K651" s="536">
        <f t="shared" ca="1" si="131"/>
        <v>136.66666666666666</v>
      </c>
      <c r="L651" s="521">
        <f ca="1">IFERROR(__xludf.DUMMYFUNCTION("IMPORTRANGE(""https://docs.google.com/spreadsheets/d/11923uPwbBZFjjGgGUA6NLw09EwE0CqkOc4q9oUmW1yo/edit?usp=sharing"",""นครสวรรค์!L546"")"),15000)</f>
        <v>15000</v>
      </c>
      <c r="M651" s="520"/>
      <c r="N651" s="537">
        <f ca="1">IFERROR(__xludf.DUMMYFUNCTION("IMPORTRANGE(""https://docs.google.com/spreadsheets/d/11923uPwbBZFjjGgGUA6NLw09EwE0CqkOc4q9oUmW1yo/edit?usp=sharing"",""นครสวรรค์!M546"")"),1600)</f>
        <v>1600</v>
      </c>
      <c r="O651" s="536">
        <f t="shared" ca="1" si="132"/>
        <v>10.666666666666666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IFERROR(__xludf.DUMMYFUNCTION("IMPORTRANGE(""https://docs.google.com/spreadsheets/d/11923uPwbBZFjjGgGUA6NLw09EwE0CqkOc4q9oUmW1yo/edit?usp=sharing"",""นครสวรรค์!J547"")"),34)</f>
        <v>34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IFERROR(__xludf.DUMMYFUNCTION("IMPORTRANGE(""https://docs.google.com/spreadsheets/d/11923uPwbBZFjjGgGUA6NLw09EwE0CqkOc4q9oUmW1yo/edit?usp=sharing"",""นครสวรรค์!J548"")"),820)</f>
        <v>820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IFERROR(__xludf.DUMMYFUNCTION("IMPORTRANGE(""https://docs.google.com/spreadsheets/d/11923uPwbBZFjjGgGUA6NLw09EwE0CqkOc4q9oUmW1yo/edit?usp=sharing"",""นครสวรรค์!J550"")"),38)</f>
        <v>38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IFERROR(__xludf.DUMMYFUNCTION("IMPORTRANGE(""https://docs.google.com/spreadsheets/d/11923uPwbBZFjjGgGUA6NLw09EwE0CqkOc4q9oUmW1yo/edit?usp=sharing"",""นครสวรรค์!J551"")"),40)</f>
        <v>40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IFERROR(__xludf.DUMMYFUNCTION("IMPORTRANGE(""https://docs.google.com/spreadsheets/d/11923uPwbBZFjjGgGUA6NLw09EwE0CqkOc4q9oUmW1yo/edit?usp=sharing"",""นครสวรรค์!J552"")"),820)</f>
        <v>820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IFERROR(__xludf.DUMMYFUNCTION("IMPORTRANGE(""https://docs.google.com/spreadsheets/d/11923uPwbBZFjjGgGUA6NLw09EwE0CqkOc4q9oUmW1yo/edit?usp=sharing"",""นครสวรรค์!J553"")"),0)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IFERROR(__xludf.DUMMYFUNCTION("IMPORTRANGE(""https://docs.google.com/spreadsheets/d/11923uPwbBZFjjGgGUA6NLw09EwE0CqkOc4q9oUmW1yo/edit?usp=sharing"",""นครสวรรค์!J554"")"),0)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IFERROR(__xludf.DUMMYFUNCTION("IMPORTRANGE(""https://docs.google.com/spreadsheets/d/11923uPwbBZFjjGgGUA6NLw09EwE0CqkOc4q9oUmW1yo/edit?usp=sharing"",""นครสวรรค์!J555"")"),0)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IFERROR(__xludf.DUMMYFUNCTION("IMPORTRANGE(""https://docs.google.com/spreadsheets/d/11923uPwbBZFjjGgGUA6NLw09EwE0CqkOc4q9oUmW1yo/edit?usp=sharing"",""นครสวรรค์!J556"")"),43)</f>
        <v>43</v>
      </c>
      <c r="K661" s="536"/>
      <c r="L661" s="521">
        <f ca="1">IFERROR(__xludf.DUMMYFUNCTION("IMPORTRANGE(""https://docs.google.com/spreadsheets/d/11923uPwbBZFjjGgGUA6NLw09EwE0CqkOc4q9oUmW1yo/edit?usp=sharing"",""นครสวรรค์!L556"")"),103400)</f>
        <v>103400</v>
      </c>
      <c r="M661" s="520"/>
      <c r="N661" s="537">
        <f ca="1">IFERROR(__xludf.DUMMYFUNCTION("IMPORTRANGE(""https://docs.google.com/spreadsheets/d/11923uPwbBZFjjGgGUA6NLw09EwE0CqkOc4q9oUmW1yo/edit?usp=sharing"",""นครสวรรค์!M556"")"),17850)</f>
        <v>17850</v>
      </c>
      <c r="O661" s="536">
        <f ca="1">IF(L661&gt;0,N661*100/L661,0)</f>
        <v>17.263056092843328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IFERROR(__xludf.DUMMYFUNCTION("IMPORTRANGE(""https://docs.google.com/spreadsheets/d/11923uPwbBZFjjGgGUA6NLw09EwE0CqkOc4q9oUmW1yo/edit?usp=sharing"",""นครสวรรค์!J557"")"),47)</f>
        <v>47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IFERROR(__xludf.DUMMYFUNCTION("IMPORTRANGE(""https://docs.google.com/spreadsheets/d/11923uPwbBZFjjGgGUA6NLw09EwE0CqkOc4q9oUmW1yo/edit?usp=sharing"",""นครสวรรค์!I558"")"),2585)</f>
        <v>2585</v>
      </c>
      <c r="J663" s="535">
        <f ca="1">IFERROR(__xludf.DUMMYFUNCTION("IMPORTRANGE(""https://docs.google.com/spreadsheets/d/11923uPwbBZFjjGgGUA6NLw09EwE0CqkOc4q9oUmW1yo/edit?usp=sharing"",""นครสวรรค์!J558"")"),860.17)</f>
        <v>860.17</v>
      </c>
      <c r="K663" s="536">
        <f ca="1">IF(I663&gt;0,J663*100/I663,0)</f>
        <v>33.27543520309478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IFERROR(__xludf.DUMMYFUNCTION("IMPORTRANGE(""https://docs.google.com/spreadsheets/d/11923uPwbBZFjjGgGUA6NLw09EwE0CqkOc4q9oUmW1yo/edit?usp=sharing"",""นครสวรรค์!I560"")"),40)</f>
        <v>40</v>
      </c>
      <c r="J665" s="535">
        <f ca="1">IFERROR(__xludf.DUMMYFUNCTION("IMPORTRANGE(""https://docs.google.com/spreadsheets/d/11923uPwbBZFjjGgGUA6NLw09EwE0CqkOc4q9oUmW1yo/edit?usp=sharing"",""นครสวรรค์!J560"")"),0)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IFERROR(__xludf.DUMMYFUNCTION("IMPORTRANGE(""https://docs.google.com/spreadsheets/d/11923uPwbBZFjjGgGUA6NLw09EwE0CqkOc4q9oUmW1yo/edit?usp=sharing"",""นครสวรรค์!L560"")"),4800)</f>
        <v>4800</v>
      </c>
      <c r="M665" s="520"/>
      <c r="N665" s="537">
        <f ca="1">IFERROR(__xludf.DUMMYFUNCTION("IMPORTRANGE(""https://docs.google.com/spreadsheets/d/11923uPwbBZFjjGgGUA6NLw09EwE0CqkOc4q9oUmW1yo/edit?usp=sharing"",""นครสวรรค์!M560"")"),0)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IFERROR(__xludf.DUMMYFUNCTION("IMPORTRANGE(""https://docs.google.com/spreadsheets/d/11923uPwbBZFjjGgGUA6NLw09EwE0CqkOc4q9oUmW1yo/edit?usp=sharing"",""นครสวรรค์!J561"")"),0)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IFERROR(__xludf.DUMMYFUNCTION("IMPORTRANGE(""https://docs.google.com/spreadsheets/d/11923uPwbBZFjjGgGUA6NLw09EwE0CqkOc4q9oUmW1yo/edit?usp=sharing"",""นครสวรรค์!J562"")"),0)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IFERROR(__xludf.DUMMYFUNCTION("IMPORTRANGE(""https://docs.google.com/spreadsheets/d/11923uPwbBZFjjGgGUA6NLw09EwE0CqkOc4q9oUmW1yo/edit?usp=sharing"",""นครสวรรค์!I563"")"),0)</f>
        <v>0</v>
      </c>
      <c r="J668" s="535">
        <f ca="1">IFERROR(__xludf.DUMMYFUNCTION("IMPORTRANGE(""https://docs.google.com/spreadsheets/d/11923uPwbBZFjjGgGUA6NLw09EwE0CqkOc4q9oUmW1yo/edit?usp=sharing"",""นครสวรรค์!J563"")"),0)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IFERROR(__xludf.DUMMYFUNCTION("IMPORTRANGE(""https://docs.google.com/spreadsheets/d/11923uPwbBZFjjGgGUA6NLw09EwE0CqkOc4q9oUmW1yo/edit?usp=sharing"",""นครสวรรค์!L563"")"),0)</f>
        <v>0</v>
      </c>
      <c r="M668" s="520"/>
      <c r="N668" s="537">
        <f ca="1">IFERROR(__xludf.DUMMYFUNCTION("IMPORTRANGE(""https://docs.google.com/spreadsheets/d/11923uPwbBZFjjGgGUA6NLw09EwE0CqkOc4q9oUmW1yo/edit?usp=sharing"",""นครสวรรค์!M563"")"),0)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IFERROR(__xludf.DUMMYFUNCTION("IMPORTRANGE(""https://docs.google.com/spreadsheets/d/11923uPwbBZFjjGgGUA6NLw09EwE0CqkOc4q9oUmW1yo/edit?usp=sharing"",""นครสวรรค์!J564"")"),0)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IFERROR(__xludf.DUMMYFUNCTION("IMPORTRANGE(""https://docs.google.com/spreadsheets/d/11923uPwbBZFjjGgGUA6NLw09EwE0CqkOc4q9oUmW1yo/edit?usp=sharing"",""นครสวรรค์!J565"")"),0)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IFERROR(__xludf.DUMMYFUNCTION("IMPORTRANGE(""https://docs.google.com/spreadsheets/d/11923uPwbBZFjjGgGUA6NLw09EwE0CqkOc4q9oUmW1yo/edit?usp=sharing"",""นครสวรรค์!I566"")"),0)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IFERROR(__xludf.DUMMYFUNCTION("IMPORTRANGE(""https://docs.google.com/spreadsheets/d/11923uPwbBZFjjGgGUA6NLw09EwE0CqkOc4q9oUmW1yo/edit?usp=sharing"",""นครสวรรค์!L566"")"),0)</f>
        <v>0</v>
      </c>
      <c r="M671" s="520"/>
      <c r="N671" s="537">
        <f ca="1">IFERROR(__xludf.DUMMYFUNCTION("IMPORTRANGE(""https://docs.google.com/spreadsheets/d/11923uPwbBZFjjGgGUA6NLw09EwE0CqkOc4q9oUmW1yo/edit?usp=sharing"",""นครสวรรค์!M566"")"),0)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IFERROR(__xludf.DUMMYFUNCTION("IMPORTRANGE(""https://docs.google.com/spreadsheets/d/11923uPwbBZFjjGgGUA6NLw09EwE0CqkOc4q9oUmW1yo/edit?usp=sharing"",""นครสวรรค์!J567"")"),0)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IFERROR(__xludf.DUMMYFUNCTION("IMPORTRANGE(""https://docs.google.com/spreadsheets/d/11923uPwbBZFjjGgGUA6NLw09EwE0CqkOc4q9oUmW1yo/edit?usp=sharing"",""นครสวรรค์!J568"")"),0)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IFERROR(__xludf.DUMMYFUNCTION("IMPORTRANGE(""https://docs.google.com/spreadsheets/d/11923uPwbBZFjjGgGUA6NLw09EwE0CqkOc4q9oUmW1yo/edit?usp=sharing"",""นครสวรรค์!J569"")"),0)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IFERROR(__xludf.DUMMYFUNCTION("IMPORTRANGE(""https://docs.google.com/spreadsheets/d/11923uPwbBZFjjGgGUA6NLw09EwE0CqkOc4q9oUmW1yo/edit?usp=sharing"",""นครสวรรค์!J570"")"),0)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IFERROR(__xludf.DUMMYFUNCTION("IMPORTRANGE(""https://docs.google.com/spreadsheets/d/11923uPwbBZFjjGgGUA6NLw09EwE0CqkOc4q9oUmW1yo/edit?usp=sharing"",""นครสวรรค์!J571"")"),0)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IFERROR(__xludf.DUMMYFUNCTION("IMPORTRANGE(""https://docs.google.com/spreadsheets/d/11923uPwbBZFjjGgGUA6NLw09EwE0CqkOc4q9oUmW1yo/edit?usp=sharing"",""นครสวรรค์!J572"")"),0)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78" customWidth="1"/>
    <col min="8" max="8" width="10.77734375" customWidth="1"/>
    <col min="9" max="10" width="15.77734375" customWidth="1"/>
    <col min="11" max="11" width="10.21875" customWidth="1"/>
    <col min="12" max="12" width="19.33203125" bestFit="1" customWidth="1"/>
    <col min="13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270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12930769</v>
      </c>
      <c r="M8" s="23">
        <f t="shared" ca="1" si="0"/>
        <v>9600744</v>
      </c>
      <c r="N8" s="23">
        <f t="shared" ca="1" si="0"/>
        <v>9593392.5399999991</v>
      </c>
      <c r="O8" s="22">
        <f t="shared" ref="O8:O16" ca="1" si="1">IF(L8&gt;0,N8*100/L8,0)</f>
        <v>74.190425488228883</v>
      </c>
      <c r="P8" s="22">
        <f t="shared" ref="P8:P16" ca="1" si="2">IF(M8&gt;0,N8*100/M8,0)</f>
        <v>99.923428225979137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12930769</v>
      </c>
      <c r="M10" s="30">
        <f t="shared" ca="1" si="4"/>
        <v>9600744</v>
      </c>
      <c r="N10" s="30">
        <f t="shared" ca="1" si="4"/>
        <v>9593392.5399999991</v>
      </c>
      <c r="O10" s="29">
        <f t="shared" ca="1" si="1"/>
        <v>74.190425488228883</v>
      </c>
      <c r="P10" s="29">
        <f t="shared" ca="1" si="2"/>
        <v>99.923428225979137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6440169</v>
      </c>
      <c r="M12" s="39">
        <f t="shared" ca="1" si="6"/>
        <v>3110144</v>
      </c>
      <c r="N12" s="39">
        <f t="shared" ca="1" si="6"/>
        <v>3102792.54</v>
      </c>
      <c r="O12" s="39">
        <f t="shared" ca="1" si="1"/>
        <v>48.178744067119979</v>
      </c>
      <c r="P12" s="39">
        <f t="shared" ca="1" si="2"/>
        <v>99.763629593999511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4566169</v>
      </c>
      <c r="M14" s="39">
        <f t="shared" si="8"/>
        <v>0</v>
      </c>
      <c r="N14" s="39">
        <f t="shared" ca="1" si="8"/>
        <v>873473</v>
      </c>
      <c r="O14" s="39">
        <f t="shared" ca="1" si="1"/>
        <v>19.129230652654336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6490600</v>
      </c>
      <c r="M16" s="39">
        <f t="shared" ca="1" si="10"/>
        <v>6490600</v>
      </c>
      <c r="N16" s="39">
        <f t="shared" ca="1" si="10"/>
        <v>6490600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10150675</v>
      </c>
      <c r="M18" s="23">
        <f t="shared" ca="1" si="11"/>
        <v>9600744</v>
      </c>
      <c r="N18" s="23">
        <f t="shared" ca="1" si="11"/>
        <v>8719919.5399999991</v>
      </c>
      <c r="O18" s="22">
        <f t="shared" ref="O18:O20" ca="1" si="12">IF(L18&gt;0,N18*100/L18,0)</f>
        <v>85.904824457486811</v>
      </c>
      <c r="P18" s="22">
        <f t="shared" ref="P18:P26" ca="1" si="13">IF(M18&gt;0,N18*100/M18,0)</f>
        <v>90.825456235475073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10150675</v>
      </c>
      <c r="M20" s="30">
        <f t="shared" ca="1" si="15"/>
        <v>9600744</v>
      </c>
      <c r="N20" s="30">
        <f t="shared" ca="1" si="15"/>
        <v>8719919.5399999991</v>
      </c>
      <c r="O20" s="29">
        <f t="shared" ca="1" si="12"/>
        <v>85.904824457486811</v>
      </c>
      <c r="P20" s="29">
        <f t="shared" ca="1" si="13"/>
        <v>90.825456235475073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3660075</v>
      </c>
      <c r="M22" s="42">
        <f t="shared" ca="1" si="18"/>
        <v>3110144</v>
      </c>
      <c r="N22" s="39">
        <f t="shared" ca="1" si="18"/>
        <v>2229319.54</v>
      </c>
      <c r="O22" s="39">
        <f t="shared" ca="1" si="17"/>
        <v>60.909121807613232</v>
      </c>
      <c r="P22" s="39">
        <f t="shared" ca="1" si="13"/>
        <v>71.678981423368185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1786075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6490600</v>
      </c>
      <c r="M26" s="50">
        <f t="shared" ca="1" si="22"/>
        <v>6490600</v>
      </c>
      <c r="N26" s="50">
        <f t="shared" ca="1" si="22"/>
        <v>6490600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2780094</v>
      </c>
      <c r="M28" s="23">
        <f t="shared" si="23"/>
        <v>0</v>
      </c>
      <c r="N28" s="23">
        <f t="shared" ca="1" si="23"/>
        <v>873473</v>
      </c>
      <c r="O28" s="22">
        <f t="shared" ref="O28:O30" ca="1" si="24">IF(L28&gt;0,N28*100/L28,0)</f>
        <v>31.418829723023755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2780094</v>
      </c>
      <c r="M30" s="30">
        <f t="shared" si="27"/>
        <v>0</v>
      </c>
      <c r="N30" s="30">
        <f t="shared" ca="1" si="27"/>
        <v>873473</v>
      </c>
      <c r="O30" s="29">
        <f t="shared" ca="1" si="24"/>
        <v>31.418829723023755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2780094</v>
      </c>
      <c r="M32" s="39">
        <f t="shared" si="30"/>
        <v>0</v>
      </c>
      <c r="N32" s="39">
        <f t="shared" ca="1" si="30"/>
        <v>873473</v>
      </c>
      <c r="O32" s="39">
        <f t="shared" ca="1" si="29"/>
        <v>31.418829723023755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2780094</v>
      </c>
      <c r="M34" s="39">
        <f t="shared" si="32"/>
        <v>0</v>
      </c>
      <c r="N34" s="39">
        <f t="shared" ca="1" si="32"/>
        <v>873473</v>
      </c>
      <c r="O34" s="39">
        <f t="shared" ca="1" si="29"/>
        <v>31.418829723023755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10150675</v>
      </c>
      <c r="M37" s="55">
        <f t="shared" ca="1" si="33"/>
        <v>9600744</v>
      </c>
      <c r="N37" s="55">
        <f t="shared" ca="1" si="33"/>
        <v>8719919.540000001</v>
      </c>
      <c r="O37" s="56">
        <f t="shared" ca="1" si="29"/>
        <v>85.904824457486825</v>
      </c>
      <c r="P37" s="56">
        <f t="shared" ca="1" si="25"/>
        <v>90.825456235475102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6740500</v>
      </c>
      <c r="M41" s="79">
        <f t="shared" ca="1" si="34"/>
        <v>6555400</v>
      </c>
      <c r="N41" s="79">
        <f t="shared" ca="1" si="34"/>
        <v>6451473.1200000001</v>
      </c>
      <c r="O41" s="78">
        <f t="shared" ref="O41:O43" ca="1" si="35">IF(L41&gt;0,N41*100/L41,0)</f>
        <v>95.712085453601361</v>
      </c>
      <c r="P41" s="78">
        <f t="shared" ref="P41:P43" ca="1" si="36">IF(M41&gt;0,N41*100/M41,0)</f>
        <v>98.41463709308357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6740500</v>
      </c>
      <c r="M43" s="79">
        <f t="shared" ca="1" si="38"/>
        <v>6555400</v>
      </c>
      <c r="N43" s="79">
        <f t="shared" ca="1" si="38"/>
        <v>6451473.1200000001</v>
      </c>
      <c r="O43" s="78">
        <f t="shared" ca="1" si="35"/>
        <v>95.712085453601361</v>
      </c>
      <c r="P43" s="78">
        <f t="shared" ca="1" si="36"/>
        <v>98.41463709308357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IFERROR(__xludf.DUMMYFUNCTION("IMPORTRANGE(""https://docs.google.com/spreadsheets/d/1Yj_ptqi66GCucihVvJfMjLAmec39IyEx_6qawtMGysU/edit?usp=sharing"",""สบก!Q25"")"),555400)</f>
        <v>555400</v>
      </c>
      <c r="N45" s="50">
        <f ca="1">IFERROR(__xludf.DUMMYFUNCTION("IMPORTRANGE(""https://docs.google.com/spreadsheets/d/1Yj_ptqi66GCucihVvJfMjLAmec39IyEx_6qawtMGysU/edit?usp=sharing"",""สบก!R25"")"),451473.12)</f>
        <v>451473.12</v>
      </c>
      <c r="O45" s="39">
        <f ca="1">IF(L45&gt;0,N45*100/L45,0)</f>
        <v>60.968686022957463</v>
      </c>
      <c r="P45" s="39">
        <f ca="1">IF(M45&gt;0,N45*100/M45,0)</f>
        <v>81.287922218221098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IFERROR(__xludf.DUMMYFUNCTION("IMPORTRANGE(""https://docs.google.com/spreadsheets/d/1Yj_ptqi66GCucihVvJfMjLAmec39IyEx_6qawtMGysU/edit?usp=sharing"",""สบก!O25"")"),6000000)</f>
        <v>6000000</v>
      </c>
      <c r="M49" s="50">
        <f ca="1">L49</f>
        <v>6000000</v>
      </c>
      <c r="N49" s="50">
        <f ca="1">IFERROR(__xludf.DUMMYFUNCTION("IMPORTRANGE(""https://docs.google.com/spreadsheets/d/1Yj_ptqi66GCucihVvJfMjLAmec39IyEx_6qawtMGysU/edit?usp=sharing"",""สบก!S25"")"),6000000)</f>
        <v>6000000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407139</v>
      </c>
      <c r="N53" s="121">
        <f t="shared" ca="1" si="39"/>
        <v>364238</v>
      </c>
      <c r="O53" s="120">
        <f t="shared" ref="O53:O55" ca="1" si="40">IF(L53&gt;0,N53*100/L53,0)</f>
        <v>91.0595</v>
      </c>
      <c r="P53" s="120">
        <f t="shared" ref="P53:P55" ca="1" si="41">IF(M53&gt;0,N53*100/M53,0)</f>
        <v>89.462812454714481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407139</v>
      </c>
      <c r="N55" s="121">
        <f t="shared" ca="1" si="43"/>
        <v>364238</v>
      </c>
      <c r="O55" s="120">
        <f t="shared" ca="1" si="40"/>
        <v>91.0595</v>
      </c>
      <c r="P55" s="120">
        <f t="shared" ca="1" si="41"/>
        <v>89.462812454714481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IFERROR(__xludf.DUMMYFUNCTION("IMPORTRANGE(""https://docs.google.com/spreadsheets/d/1Yj_ptqi66GCucihVvJfMjLAmec39IyEx_6qawtMGysU/edit?usp=sharing"",""สบก!Z25"")"),407139)</f>
        <v>407139</v>
      </c>
      <c r="N57" s="50">
        <f ca="1">IFERROR(__xludf.DUMMYFUNCTION("IMPORTRANGE(""https://docs.google.com/spreadsheets/d/1Yj_ptqi66GCucihVvJfMjLAmec39IyEx_6qawtMGysU/edit?usp=sharing"",""สบก!AA25"")"),364238)</f>
        <v>364238</v>
      </c>
      <c r="O57" s="39">
        <f ca="1">IF(L57&gt;0,N57*100/L57,0)</f>
        <v>91.0595</v>
      </c>
      <c r="P57" s="39">
        <f ca="1">IF(M57&gt;0,N57*100/M57,0)</f>
        <v>89.462812454714481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864820</v>
      </c>
      <c r="N66" s="152">
        <f t="shared" ca="1" si="45"/>
        <v>677330.9</v>
      </c>
      <c r="O66" s="151">
        <f t="shared" ref="O66:O68" ca="1" si="46">IF(L66&gt;0,N66*100/L66,0)</f>
        <v>72.271756295347842</v>
      </c>
      <c r="P66" s="151">
        <f t="shared" ref="P66:P68" ca="1" si="47">IF(M66&gt;0,N66*100/M66,0)</f>
        <v>78.32044818574964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864820</v>
      </c>
      <c r="N68" s="88">
        <f t="shared" ca="1" si="49"/>
        <v>677330.9</v>
      </c>
      <c r="O68" s="156">
        <f t="shared" ca="1" si="46"/>
        <v>72.271756295347842</v>
      </c>
      <c r="P68" s="156">
        <f t="shared" ca="1" si="47"/>
        <v>78.32044818574964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IFERROR(__xludf.DUMMYFUNCTION("IMPORTRANGE(""https://docs.google.com/spreadsheets/d/1Yj_ptqi66GCucihVvJfMjLAmec39IyEx_6qawtMGysU/edit?usp=sharing"",""สบก!AI25"")"),481220)</f>
        <v>481220</v>
      </c>
      <c r="N70" s="168">
        <f ca="1">IFERROR(__xludf.DUMMYFUNCTION("IMPORTRANGE(""https://docs.google.com/spreadsheets/d/1Yj_ptqi66GCucihVvJfMjLAmec39IyEx_6qawtMGysU/edit?usp=sharing"",""สบก!AJ25"")"),293730.9)</f>
        <v>293730.90000000002</v>
      </c>
      <c r="O70" s="168">
        <f ca="1">IF(L70&gt;0,N70*100/L70,0)</f>
        <v>53.058327312138736</v>
      </c>
      <c r="P70" s="168">
        <f ca="1">IF(M70&gt;0,N70*100/M70,0)</f>
        <v>61.038797223723044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140767</v>
      </c>
      <c r="O94" s="151">
        <f t="shared" ref="O94:O96" ca="1" si="53">IF(L94&gt;0,N94*100/L94,0)</f>
        <v>65.748248482017743</v>
      </c>
      <c r="P94" s="151">
        <f t="shared" ref="P94:P96" ca="1" si="54">IF(M94&gt;0,N94*100/M94,0)</f>
        <v>72.539743887042334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194055</v>
      </c>
      <c r="N96" s="88">
        <f t="shared" ca="1" si="56"/>
        <v>140767</v>
      </c>
      <c r="O96" s="156">
        <f t="shared" ca="1" si="53"/>
        <v>65.748248482017743</v>
      </c>
      <c r="P96" s="156">
        <f t="shared" ca="1" si="54"/>
        <v>72.539743887042334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IFERROR(__xludf.DUMMYFUNCTION("IMPORTRANGE(""https://docs.google.com/spreadsheets/d/1Yj_ptqi66GCucihVvJfMjLAmec39IyEx_6qawtMGysU/edit?usp=sharing"",""สบก!AR25"")"),102055)</f>
        <v>102055</v>
      </c>
      <c r="N98" s="168">
        <f ca="1">IFERROR(__xludf.DUMMYFUNCTION("IMPORTRANGE(""https://docs.google.com/spreadsheets/d/1Yj_ptqi66GCucihVvJfMjLAmec39IyEx_6qawtMGysU/edit?usp=sharing"",""สบก!AS25"")"),48767)</f>
        <v>48767</v>
      </c>
      <c r="O98" s="168">
        <f ca="1">IF(L98&gt;0,N98*100/L98,0)</f>
        <v>39.940212940212938</v>
      </c>
      <c r="P98" s="168">
        <f ca="1">IF(M98&gt;0,N98*100/M98,0)</f>
        <v>47.785017882514332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815200</v>
      </c>
      <c r="M140" s="152">
        <f t="shared" ca="1" si="64"/>
        <v>790375</v>
      </c>
      <c r="N140" s="152">
        <f t="shared" ca="1" si="64"/>
        <v>478185.52</v>
      </c>
      <c r="O140" s="151">
        <f t="shared" ref="O140:O142" ca="1" si="65">IF(L140&gt;0,N140*100/L140,0)</f>
        <v>58.658675171736995</v>
      </c>
      <c r="P140" s="151">
        <f t="shared" ref="P140:P142" ca="1" si="66">IF(M140&gt;0,N140*100/M140,0)</f>
        <v>60.501093784595916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815200</v>
      </c>
      <c r="M142" s="88">
        <f t="shared" ca="1" si="68"/>
        <v>790375</v>
      </c>
      <c r="N142" s="88">
        <f t="shared" ca="1" si="68"/>
        <v>478185.52</v>
      </c>
      <c r="O142" s="156">
        <f t="shared" ca="1" si="65"/>
        <v>58.658675171736995</v>
      </c>
      <c r="P142" s="156">
        <f t="shared" ca="1" si="66"/>
        <v>60.501093784595916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IFERROR(__xludf.DUMMYFUNCTION("IMPORTRANGE(""https://docs.google.com/spreadsheets/d/1Yj_ptqi66GCucihVvJfMjLAmec39IyEx_6qawtMGysU/edit?usp=sharing"",""สบก!BJ25"")"),790375)</f>
        <v>790375</v>
      </c>
      <c r="N144" s="168">
        <f ca="1">IFERROR(__xludf.DUMMYFUNCTION("IMPORTRANGE(""https://docs.google.com/spreadsheets/d/1Yj_ptqi66GCucihVvJfMjLAmec39IyEx_6qawtMGysU/edit?usp=sharing"",""สบก!BK25"")"),478185.52)</f>
        <v>478185.52</v>
      </c>
      <c r="O144" s="168">
        <f ca="1">IF(L144&gt;0,N144*100/L144,0)</f>
        <v>58.658675171736995</v>
      </c>
      <c r="P144" s="168">
        <f ca="1">IF(M144&gt;0,N144*100/M144,0)</f>
        <v>60.501093784595916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IFERROR(__xludf.DUMMYFUNCTION("IMPORTRANGE(""https://docs.google.com/spreadsheets/d/11923uPwbBZFjjGgGUA6NLw09EwE0CqkOc4q9oUmW1yo/edit?usp=sharing"",""น่าน!J84"")"),137)</f>
        <v>137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IFERROR(__xludf.DUMMYFUNCTION("IMPORTRANGE(""https://docs.google.com/spreadsheets/d/11923uPwbBZFjjGgGUA6NLw09EwE0CqkOc4q9oUmW1yo/edit?usp=sharing"",""น่าน!J85"")"),137)</f>
        <v>137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IFERROR(__xludf.DUMMYFUNCTION("IMPORTRANGE(""https://docs.google.com/spreadsheets/d/1Yj_ptqi66GCucihVvJfMjLAmec39IyEx_6qawtMGysU/edit?usp=sharing"",""สบก!CK25"")"),32250)</f>
        <v>32250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100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IFERROR(__xludf.DUMMYFUNCTION("IMPORTRANGE(""https://docs.google.com/spreadsheets/d/11923uPwbBZFjjGgGUA6NLw09EwE0CqkOc4q9oUmW1yo/edit?usp=sharing"",""น่าน!J228"")"),321)</f>
        <v>321</v>
      </c>
      <c r="K328" s="317">
        <f ca="1">IF(I328&gt;0,J328*100/I328,0)</f>
        <v>40.125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967350</v>
      </c>
      <c r="M329" s="152">
        <f t="shared" ca="1" si="98"/>
        <v>735580</v>
      </c>
      <c r="N329" s="152">
        <f t="shared" ca="1" si="98"/>
        <v>554550</v>
      </c>
      <c r="O329" s="151">
        <f t="shared" ref="O329:O331" ca="1" si="99">IF(L329&gt;0,N329*100/L329,0)</f>
        <v>57.32671732051481</v>
      </c>
      <c r="P329" s="151">
        <f t="shared" ref="P329:P331" ca="1" si="100">IF(M329&gt;0,N329*100/M329,0)</f>
        <v>75.389488566845216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967350</v>
      </c>
      <c r="M331" s="88">
        <f t="shared" ca="1" si="102"/>
        <v>735580</v>
      </c>
      <c r="N331" s="88">
        <f t="shared" ca="1" si="102"/>
        <v>554550</v>
      </c>
      <c r="O331" s="156">
        <f t="shared" ca="1" si="99"/>
        <v>57.32671732051481</v>
      </c>
      <c r="P331" s="156">
        <f t="shared" ca="1" si="100"/>
        <v>75.389488566845216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952350</v>
      </c>
      <c r="M333" s="167">
        <f ca="1">IFERROR(__xludf.DUMMYFUNCTION("IMPORTRANGE(""https://docs.google.com/spreadsheets/d/1Yj_ptqi66GCucihVvJfMjLAmec39IyEx_6qawtMGysU/edit?usp=sharing"",""สบก!DL25"")"),720580)</f>
        <v>720580</v>
      </c>
      <c r="N333" s="168">
        <f ca="1">IFERROR(__xludf.DUMMYFUNCTION("IMPORTRANGE(""https://docs.google.com/spreadsheets/d/1Yj_ptqi66GCucihVvJfMjLAmec39IyEx_6qawtMGysU/edit?usp=sharing"",""สบก!DM25"")"),539550)</f>
        <v>539550</v>
      </c>
      <c r="O333" s="168">
        <f ca="1">IF(L333&gt;0,N333*100/L333,0)</f>
        <v>56.654591274216415</v>
      </c>
      <c r="P333" s="168">
        <f ca="1">IF(M333&gt;0,N333*100/M333,0)</f>
        <v>74.877182269838187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IFERROR(__xludf.DUMMYFUNCTION("IMPORTRANGE(""https://docs.google.com/spreadsheets/d/1Yj_ptqi66GCucihVvJfMjLAmec39IyEx_6qawtMGysU/edit?usp=sharing"",""สบก!DI25"")"),534750)</f>
        <v>534750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IFERROR(__xludf.DUMMYFUNCTION("IMPORTRANGE(""https://docs.google.com/spreadsheets/d/11923uPwbBZFjjGgGUA6NLw09EwE0CqkOc4q9oUmW1yo/edit?usp=sharing"",""น่าน!J234"")"),305)</f>
        <v>305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IFERROR(__xludf.DUMMYFUNCTION("IMPORTRANGE(""https://docs.google.com/spreadsheets/d/11923uPwbBZFjjGgGUA6NLw09EwE0CqkOc4q9oUmW1yo/edit?usp=sharing"",""น่าน!J235"")"),1042.92)</f>
        <v>1042.92</v>
      </c>
      <c r="K340" s="342">
        <f t="shared" ca="1" si="103"/>
        <v>52.146000000000001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IFERROR(__xludf.DUMMYFUNCTION("IMPORTRANGE(""https://docs.google.com/spreadsheets/d/11923uPwbBZFjjGgGUA6NLw09EwE0CqkOc4q9oUmW1yo/edit?usp=sharing"",""น่าน!J236"")"),417)</f>
        <v>417</v>
      </c>
      <c r="K341" s="342">
        <f t="shared" ca="1" si="103"/>
        <v>52.125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IFERROR(__xludf.DUMMYFUNCTION("IMPORTRANGE(""https://docs.google.com/spreadsheets/d/11923uPwbBZFjjGgGUA6NLw09EwE0CqkOc4q9oUmW1yo/edit?usp=sharing"",""น่าน!J237"")"),1909.97)</f>
        <v>1909.97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IFERROR(__xludf.DUMMYFUNCTION("IMPORTRANGE(""https://docs.google.com/spreadsheets/d/11923uPwbBZFjjGgGUA6NLw09EwE0CqkOc4q9oUmW1yo/edit?usp=sharing"",""น่าน!J238"")"),3)</f>
        <v>3</v>
      </c>
      <c r="K343" s="342">
        <f t="shared" ca="1" si="103"/>
        <v>0.375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IFERROR(__xludf.DUMMYFUNCTION("IMPORTRANGE(""https://docs.google.com/spreadsheets/d/11923uPwbBZFjjGgGUA6NLw09EwE0CqkOc4q9oUmW1yo/edit?usp=sharing"",""น่าน!J239"")"),20.7)</f>
        <v>20.7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IFERROR(__xludf.DUMMYFUNCTION("IMPORTRANGE(""https://docs.google.com/spreadsheets/d/11923uPwbBZFjjGgGUA6NLw09EwE0CqkOc4q9oUmW1yo/edit?usp=sharing"",""น่าน!J240"")"),321)</f>
        <v>321</v>
      </c>
      <c r="K345" s="342">
        <f t="shared" ca="1" si="103"/>
        <v>40.125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IFERROR(__xludf.DUMMYFUNCTION("IMPORTRANGE(""https://docs.google.com/spreadsheets/d/11923uPwbBZFjjGgGUA6NLw09EwE0CqkOc4q9oUmW1yo/edit?usp=sharing"",""น่าน!J241"")"),1521.9)</f>
        <v>1521.9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IFERROR(__xludf.DUMMYFUNCTION("IMPORTRANGE(""https://docs.google.com/spreadsheets/d/11923uPwbBZFjjGgGUA6NLw09EwE0CqkOc4q9oUmW1yo/edit?usp=sharing"",""น่าน!L242"")"),2780094)</f>
        <v>2780094</v>
      </c>
      <c r="M347" s="357"/>
      <c r="N347" s="357">
        <f ca="1">IFERROR(__xludf.DUMMYFUNCTION("IMPORTRANGE(""https://docs.google.com/spreadsheets/d/11923uPwbBZFjjGgGUA6NLw09EwE0CqkOc4q9oUmW1yo/edit?usp=sharing"",""น่าน!M242"")"),873473)</f>
        <v>873473</v>
      </c>
      <c r="O347" s="357">
        <f ca="1">+IF(L347&gt;0,N347*100/L347,0)</f>
        <v>31.418829723023755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IFERROR(__xludf.DUMMYFUNCTION("IMPORTRANGE(""https://docs.google.com/spreadsheets/d/11923uPwbBZFjjGgGUA6NLw09EwE0CqkOc4q9oUmW1yo/edit?usp=sharing"",""น่าน!M244"")"),155229)</f>
        <v>155229</v>
      </c>
      <c r="O349" s="372">
        <f ca="1">+IF(L349&gt;0,N349*100/L349,0)</f>
        <v>44.784916765240474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IFERROR(__xludf.DUMMYFUNCTION("IMPORTRANGE(""https://docs.google.com/spreadsheets/d/11923uPwbBZFjjGgGUA6NLw09EwE0CqkOc4q9oUmW1yo/edit?usp=sharing"",""น่าน!M247"")"),155229)</f>
        <v>155229</v>
      </c>
      <c r="O352" s="165">
        <f t="shared" ca="1" si="105"/>
        <v>44.784916765240474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IFERROR(__xludf.DUMMYFUNCTION("IMPORTRANGE(""https://docs.google.com/spreadsheets/d/11923uPwbBZFjjGgGUA6NLw09EwE0CqkOc4q9oUmW1yo/edit?usp=sharing"",""น่าน!M249"")"),155229)</f>
        <v>155229</v>
      </c>
      <c r="O354" s="168">
        <f t="shared" ca="1" si="105"/>
        <v>44.784916765240474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IFERROR(__xludf.DUMMYFUNCTION("IMPORTRANGE(""https://docs.google.com/spreadsheets/d/11923uPwbBZFjjGgGUA6NLw09EwE0CqkOc4q9oUmW1yo/edit?usp=sharing"",""น่าน!M252"")"),94449)</f>
        <v>94449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IFERROR(__xludf.DUMMYFUNCTION("IMPORTRANGE(""https://docs.google.com/spreadsheets/d/11923uPwbBZFjjGgGUA6NLw09EwE0CqkOc4q9oUmW1yo/edit?usp=sharing"",""น่าน!M253"")"),4680)</f>
        <v>4680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IFERROR(__xludf.DUMMYFUNCTION("IMPORTRANGE(""https://docs.google.com/spreadsheets/d/11923uPwbBZFjjGgGUA6NLw09EwE0CqkOc4q9oUmW1yo/edit?usp=sharing"",""น่าน!M275"")"),221848)</f>
        <v>221848</v>
      </c>
      <c r="O380" s="372">
        <f ca="1">+IF(L380&gt;0,N380*100/L380,0)</f>
        <v>21.569634037257419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IFERROR(__xludf.DUMMYFUNCTION("IMPORTRANGE(""https://docs.google.com/spreadsheets/d/11923uPwbBZFjjGgGUA6NLw09EwE0CqkOc4q9oUmW1yo/edit?usp=sharing"",""น่าน!M278"")"),221848)</f>
        <v>221848</v>
      </c>
      <c r="O383" s="165">
        <f t="shared" ca="1" si="109"/>
        <v>21.569634037257419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IFERROR(__xludf.DUMMYFUNCTION("IMPORTRANGE(""https://docs.google.com/spreadsheets/d/11923uPwbBZFjjGgGUA6NLw09EwE0CqkOc4q9oUmW1yo/edit?usp=sharing"",""น่าน!M280"")"),221848)</f>
        <v>221848</v>
      </c>
      <c r="O385" s="168">
        <f t="shared" ca="1" si="109"/>
        <v>21.569634037257419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IFERROR(__xludf.DUMMYFUNCTION("IMPORTRANGE(""https://docs.google.com/spreadsheets/d/11923uPwbBZFjjGgGUA6NLw09EwE0CqkOc4q9oUmW1yo/edit?usp=sharing"",""น่าน!M281"")"),124170)</f>
        <v>124170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IFERROR(__xludf.DUMMYFUNCTION("IMPORTRANGE(""https://docs.google.com/spreadsheets/d/11923uPwbBZFjjGgGUA6NLw09EwE0CqkOc4q9oUmW1yo/edit?usp=sharing"",""น่าน!M283"")"),93558)</f>
        <v>93558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IFERROR(__xludf.DUMMYFUNCTION("IMPORTRANGE(""https://docs.google.com/spreadsheets/d/11923uPwbBZFjjGgGUA6NLw09EwE0CqkOc4q9oUmW1yo/edit?usp=sharing"",""น่าน!M284"")"),4120)</f>
        <v>4120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IFERROR(__xludf.DUMMYFUNCTION("IMPORTRANGE(""https://docs.google.com/spreadsheets/d/11923uPwbBZFjjGgGUA6NLw09EwE0CqkOc4q9oUmW1yo/edit?usp=sharing"",""น่าน!J296"")"),120)</f>
        <v>120</v>
      </c>
      <c r="K401" s="371">
        <f t="shared" ref="K401:K402" ca="1" si="111">IF(I401&gt;0,J401*100/I401,0)</f>
        <v>80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IFERROR(__xludf.DUMMYFUNCTION("IMPORTRANGE(""https://docs.google.com/spreadsheets/d/11923uPwbBZFjjGgGUA6NLw09EwE0CqkOc4q9oUmW1yo/edit?usp=sharing"",""น่าน!M296"")"),104663)</f>
        <v>104663</v>
      </c>
      <c r="O401" s="372">
        <f ca="1">+IF(L401&gt;0,N401*100/L401,0)</f>
        <v>60.56886574074074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IFERROR(__xludf.DUMMYFUNCTION("IMPORTRANGE(""https://docs.google.com/spreadsheets/d/11923uPwbBZFjjGgGUA6NLw09EwE0CqkOc4q9oUmW1yo/edit?usp=sharing"",""น่าน!J297"")"),20)</f>
        <v>20</v>
      </c>
      <c r="K402" s="371">
        <f t="shared" ca="1" si="111"/>
        <v>40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IFERROR(__xludf.DUMMYFUNCTION("IMPORTRANGE(""https://docs.google.com/spreadsheets/d/11923uPwbBZFjjGgGUA6NLw09EwE0CqkOc4q9oUmW1yo/edit?usp=sharing"",""น่าน!M299"")"),104663)</f>
        <v>104663</v>
      </c>
      <c r="O404" s="168">
        <f t="shared" ca="1" si="112"/>
        <v>60.56886574074074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IFERROR(__xludf.DUMMYFUNCTION("IMPORTRANGE(""https://docs.google.com/spreadsheets/d/11923uPwbBZFjjGgGUA6NLw09EwE0CqkOc4q9oUmW1yo/edit?usp=sharing"",""น่าน!M301"")"),104663)</f>
        <v>104663</v>
      </c>
      <c r="O406" s="168">
        <f t="shared" ca="1" si="112"/>
        <v>60.56886574074074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IFERROR(__xludf.DUMMYFUNCTION("IMPORTRANGE(""https://docs.google.com/spreadsheets/d/11923uPwbBZFjjGgGUA6NLw09EwE0CqkOc4q9oUmW1yo/edit?usp=sharing"",""น่าน!M302"")"),93943)</f>
        <v>93943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IFERROR(__xludf.DUMMYFUNCTION("IMPORTRANGE(""https://docs.google.com/spreadsheets/d/11923uPwbBZFjjGgGUA6NLw09EwE0CqkOc4q9oUmW1yo/edit?usp=sharing"",""น่าน!M305"")"),10720)</f>
        <v>10720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IFERROR(__xludf.DUMMYFUNCTION("IMPORTRANGE(""https://docs.google.com/spreadsheets/d/11923uPwbBZFjjGgGUA6NLw09EwE0CqkOc4q9oUmW1yo/edit?usp=sharing"",""น่าน!J311"")"),20)</f>
        <v>20</v>
      </c>
      <c r="K416" s="201">
        <f t="shared" ref="K416:K432" ca="1" si="113">IF(I416&gt;0,J416*100/I416,0)</f>
        <v>40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IFERROR(__xludf.DUMMYFUNCTION("IMPORTRANGE(""https://docs.google.com/spreadsheets/d/11923uPwbBZFjjGgGUA6NLw09EwE0CqkOc4q9oUmW1yo/edit?usp=sharing"",""น่าน!J317"")"),60)</f>
        <v>60</v>
      </c>
      <c r="K422" s="201">
        <f t="shared" ca="1" si="113"/>
        <v>66.666666666666671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IFERROR(__xludf.DUMMYFUNCTION("IMPORTRANGE(""https://docs.google.com/spreadsheets/d/11923uPwbBZFjjGgGUA6NLw09EwE0CqkOc4q9oUmW1yo/edit?usp=sharing"",""น่าน!M330"")"),88040)</f>
        <v>88040</v>
      </c>
      <c r="O435" s="411">
        <f t="shared" ref="O435:O439" ca="1" si="114">+IF(L435&gt;0,N435*100/L435,0)</f>
        <v>68.354037267080741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IFERROR(__xludf.DUMMYFUNCTION("IMPORTRANGE(""https://docs.google.com/spreadsheets/d/11923uPwbBZFjjGgGUA6NLw09EwE0CqkOc4q9oUmW1yo/edit?usp=sharing"",""น่าน!M332"")"),88040)</f>
        <v>88040</v>
      </c>
      <c r="O437" s="168">
        <f t="shared" ca="1" si="114"/>
        <v>68.354037267080741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IFERROR(__xludf.DUMMYFUNCTION("IMPORTRANGE(""https://docs.google.com/spreadsheets/d/11923uPwbBZFjjGgGUA6NLw09EwE0CqkOc4q9oUmW1yo/edit?usp=sharing"",""น่าน!M334"")"),88040)</f>
        <v>88040</v>
      </c>
      <c r="O439" s="168">
        <f t="shared" ca="1" si="114"/>
        <v>68.354037267080741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IFERROR(__xludf.DUMMYFUNCTION("IMPORTRANGE(""https://docs.google.com/spreadsheets/d/11923uPwbBZFjjGgGUA6NLw09EwE0CqkOc4q9oUmW1yo/edit?usp=sharing"",""น่าน!M338"")"),10040)</f>
        <v>10040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IFERROR(__xludf.DUMMYFUNCTION("IMPORTRANGE(""https://docs.google.com/spreadsheets/d/11923uPwbBZFjjGgGUA6NLw09EwE0CqkOc4q9oUmW1yo/edit?usp=sharing"",""น่าน!J350"")"),56593.38)</f>
        <v>56593.38</v>
      </c>
      <c r="K455" s="371">
        <f ca="1">IF(I455&gt;0,J455*100/I455,0)</f>
        <v>100.04663496384818</v>
      </c>
      <c r="L455" s="372">
        <f ca="1">IFERROR(__xludf.DUMMYFUNCTION("IMPORTRANGE(""https://docs.google.com/spreadsheets/d/11923uPwbBZFjjGgGUA6NLw09EwE0CqkOc4q9oUmW1yo/edit?usp=sharing"",""น่าน!L350"")"),616854)</f>
        <v>616854</v>
      </c>
      <c r="M455" s="372"/>
      <c r="N455" s="372">
        <f ca="1">IFERROR(__xludf.DUMMYFUNCTION("IMPORTRANGE(""https://docs.google.com/spreadsheets/d/11923uPwbBZFjjGgGUA6NLw09EwE0CqkOc4q9oUmW1yo/edit?usp=sharing"",""น่าน!M350"")"),128457)</f>
        <v>128457</v>
      </c>
      <c r="O455" s="372">
        <f t="shared" ref="O455:O459" ca="1" si="116">+IF(L455&gt;0,N455*100/L455,0)</f>
        <v>20.824538707700686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IFERROR(__xludf.DUMMYFUNCTION("IMPORTRANGE(""https://docs.google.com/spreadsheets/d/11923uPwbBZFjjGgGUA6NLw09EwE0CqkOc4q9oUmW1yo/edit?usp=sharing"",""น่าน!L352"")"),616854)</f>
        <v>616854</v>
      </c>
      <c r="M457" s="165"/>
      <c r="N457" s="168">
        <f ca="1">IFERROR(__xludf.DUMMYFUNCTION("IMPORTRANGE(""https://docs.google.com/spreadsheets/d/11923uPwbBZFjjGgGUA6NLw09EwE0CqkOc4q9oUmW1yo/edit?usp=sharing"",""น่าน!M352"")"),128457)</f>
        <v>128457</v>
      </c>
      <c r="O457" s="168">
        <f t="shared" ca="1" si="116"/>
        <v>20.824538707700686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IFERROR(__xludf.DUMMYFUNCTION("IMPORTRANGE(""https://docs.google.com/spreadsheets/d/11923uPwbBZFjjGgGUA6NLw09EwE0CqkOc4q9oUmW1yo/edit?usp=sharing"",""น่าน!L354"")"),616854)</f>
        <v>616854</v>
      </c>
      <c r="M459" s="168"/>
      <c r="N459" s="168">
        <f ca="1">IFERROR(__xludf.DUMMYFUNCTION("IMPORTRANGE(""https://docs.google.com/spreadsheets/d/11923uPwbBZFjjGgGUA6NLw09EwE0CqkOc4q9oUmW1yo/edit?usp=sharing"",""น่าน!M354"")"),128457)</f>
        <v>128457</v>
      </c>
      <c r="O459" s="168">
        <f t="shared" ca="1" si="116"/>
        <v>20.824538707700686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IFERROR(__xludf.DUMMYFUNCTION("IMPORTRANGE(""https://docs.google.com/spreadsheets/d/11923uPwbBZFjjGgGUA6NLw09EwE0CqkOc4q9oUmW1yo/edit?usp=sharing"",""น่าน!M357"")"),72957)</f>
        <v>72957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IFERROR(__xludf.DUMMYFUNCTION("IMPORTRANGE(""https://docs.google.com/spreadsheets/d/11923uPwbBZFjjGgGUA6NLw09EwE0CqkOc4q9oUmW1yo/edit?usp=sharing"",""น่าน!M358"")"),55500)</f>
        <v>55500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IFERROR(__xludf.DUMMYFUNCTION("IMPORTRANGE(""https://docs.google.com/spreadsheets/d/11923uPwbBZFjjGgGUA6NLw09EwE0CqkOc4q9oUmW1yo/edit?usp=sharing"",""น่าน!J359"")"),56593.38)</f>
        <v>56593.38</v>
      </c>
      <c r="K464" s="268">
        <f t="shared" ref="K464:K515" ca="1" si="117">IF(I464&gt;0,J464*100/I464,0)</f>
        <v>100.04663496384818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IFERROR(__xludf.DUMMYFUNCTION("IMPORTRANGE(""https://docs.google.com/spreadsheets/d/11923uPwbBZFjjGgGUA6NLw09EwE0CqkOc4q9oUmW1yo/edit?usp=sharing"",""น่าน!J376"")"),56593.38)</f>
        <v>56593.38</v>
      </c>
      <c r="K481" s="201">
        <f t="shared" ca="1" si="117"/>
        <v>100.04663496384818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IFERROR(__xludf.DUMMYFUNCTION("IMPORTRANGE(""https://docs.google.com/spreadsheets/d/11923uPwbBZFjjGgGUA6NLw09EwE0CqkOc4q9oUmW1yo/edit?usp=sharing"",""น่าน!J378"")"),54263)</f>
        <v>54263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IFERROR(__xludf.DUMMYFUNCTION("IMPORTRANGE(""https://docs.google.com/spreadsheets/d/11923uPwbBZFjjGgGUA6NLw09EwE0CqkOc4q9oUmW1yo/edit?usp=sharing"",""น่าน!J379"")"),8784)</f>
        <v>8784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IFERROR(__xludf.DUMMYFUNCTION("IMPORTRANGE(""https://docs.google.com/spreadsheets/d/11923uPwbBZFjjGgGUA6NLw09EwE0CqkOc4q9oUmW1yo/edit?usp=sharing"",""น่าน!J380"")"),1748.72)</f>
        <v>1748.72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IFERROR(__xludf.DUMMYFUNCTION("IMPORTRANGE(""https://docs.google.com/spreadsheets/d/11923uPwbBZFjjGgGUA6NLw09EwE0CqkOc4q9oUmW1yo/edit?usp=sharing"",""น่าน!J381"")"),186)</f>
        <v>186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IFERROR(__xludf.DUMMYFUNCTION("IMPORTRANGE(""https://docs.google.com/spreadsheets/d/11923uPwbBZFjjGgGUA6NLw09EwE0CqkOc4q9oUmW1yo/edit?usp=sharing"",""น่าน!J382"")"),581.66)</f>
        <v>581.66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IFERROR(__xludf.DUMMYFUNCTION("IMPORTRANGE(""https://docs.google.com/spreadsheets/d/11923uPwbBZFjjGgGUA6NLw09EwE0CqkOc4q9oUmW1yo/edit?usp=sharing"",""น่าน!J384"")"),554.17)</f>
        <v>554.16999999999996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IFERROR(__xludf.DUMMYFUNCTION("IMPORTRANGE(""https://docs.google.com/spreadsheets/d/11923uPwbBZFjjGgGUA6NLw09EwE0CqkOc4q9oUmW1yo/edit?usp=sharing"",""น่าน!J385"")"),103)</f>
        <v>103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IFERROR(__xludf.DUMMYFUNCTION("IMPORTRANGE(""https://docs.google.com/spreadsheets/d/11923uPwbBZFjjGgGUA6NLw09EwE0CqkOc4q9oUmW1yo/edit?usp=sharing"",""น่าน!J386"")"),27.49)</f>
        <v>27.49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IFERROR(__xludf.DUMMYFUNCTION("IMPORTRANGE(""https://docs.google.com/spreadsheets/d/11923uPwbBZFjjGgGUA6NLw09EwE0CqkOc4q9oUmW1yo/edit?usp=sharing"",""น่าน!M428"")"),26076)</f>
        <v>26076</v>
      </c>
      <c r="O533" s="411">
        <f t="shared" ref="O533:O537" ca="1" si="118">+IF(L533&gt;0,N533*100/L533,0)</f>
        <v>75.934769947582993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IFERROR(__xludf.DUMMYFUNCTION("IMPORTRANGE(""https://docs.google.com/spreadsheets/d/11923uPwbBZFjjGgGUA6NLw09EwE0CqkOc4q9oUmW1yo/edit?usp=sharing"",""น่าน!J459"")"),1679)</f>
        <v>1679</v>
      </c>
      <c r="K564" s="371">
        <f ca="1">IF(I564&gt;0,J564*100/I564,0)</f>
        <v>78.093023255813947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IFERROR(__xludf.DUMMYFUNCTION("IMPORTRANGE(""https://docs.google.com/spreadsheets/d/11923uPwbBZFjjGgGUA6NLw09EwE0CqkOc4q9oUmW1yo/edit?usp=sharing"",""น่าน!M459"")"),70990)</f>
        <v>70990</v>
      </c>
      <c r="O564" s="372">
        <f t="shared" ref="O564:O568" ca="1" si="122">+IF(L564&gt;0,N564*100/L564,0)</f>
        <v>49.026243093922652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IFERROR(__xludf.DUMMYFUNCTION("IMPORTRANGE(""https://docs.google.com/spreadsheets/d/11923uPwbBZFjjGgGUA6NLw09EwE0CqkOc4q9oUmW1yo/edit?usp=sharing"",""น่าน!M461"")"),70990)</f>
        <v>70990</v>
      </c>
      <c r="O566" s="168">
        <f t="shared" ca="1" si="122"/>
        <v>49.026243093922652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IFERROR(__xludf.DUMMYFUNCTION("IMPORTRANGE(""https://docs.google.com/spreadsheets/d/11923uPwbBZFjjGgGUA6NLw09EwE0CqkOc4q9oUmW1yo/edit?usp=sharing"",""น่าน!M463"")"),70990)</f>
        <v>70990</v>
      </c>
      <c r="O568" s="168">
        <f t="shared" ca="1" si="122"/>
        <v>49.026243093922652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IFERROR(__xludf.DUMMYFUNCTION("IMPORTRANGE(""https://docs.google.com/spreadsheets/d/11923uPwbBZFjjGgGUA6NLw09EwE0CqkOc4q9oUmW1yo/edit?usp=sharing"",""น่าน!M466"")"),67830)</f>
        <v>67830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IFERROR(__xludf.DUMMYFUNCTION("IMPORTRANGE(""https://docs.google.com/spreadsheets/d/11923uPwbBZFjjGgGUA6NLw09EwE0CqkOc4q9oUmW1yo/edit?usp=sharing"",""น่าน!M467"")"),3160)</f>
        <v>3160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IFERROR(__xludf.DUMMYFUNCTION("IMPORTRANGE(""https://docs.google.com/spreadsheets/d/11923uPwbBZFjjGgGUA6NLw09EwE0CqkOc4q9oUmW1yo/edit?usp=sharing"",""น่าน!J468"")"),1679)</f>
        <v>1679</v>
      </c>
      <c r="K573" s="201">
        <f ca="1">IF(I573&gt;0,J573*100/I573,0)</f>
        <v>78.093023255813947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IFERROR(__xludf.DUMMYFUNCTION("IMPORTRANGE(""https://docs.google.com/spreadsheets/d/11923uPwbBZFjjGgGUA6NLw09EwE0CqkOc4q9oUmW1yo/edit?usp=sharing"",""น่าน!J472"")"),1452)</f>
        <v>1452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IFERROR(__xludf.DUMMYFUNCTION("IMPORTRANGE(""https://docs.google.com/spreadsheets/d/11923uPwbBZFjjGgGUA6NLw09EwE0CqkOc4q9oUmW1yo/edit?usp=sharing"",""น่าน!J473"")"),29)</f>
        <v>29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IFERROR(__xludf.DUMMYFUNCTION("IMPORTRANGE(""https://docs.google.com/spreadsheets/d/11923uPwbBZFjjGgGUA6NLw09EwE0CqkOc4q9oUmW1yo/edit?usp=sharing"",""น่าน!J475"")"),4)</f>
        <v>4</v>
      </c>
      <c r="K580" s="371">
        <f ca="1">IF(I580&gt;0,J580*100/I580,0)</f>
        <v>5.7142857142857144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IFERROR(__xludf.DUMMYFUNCTION("IMPORTRANGE(""https://docs.google.com/spreadsheets/d/11923uPwbBZFjjGgGUA6NLw09EwE0CqkOc4q9oUmW1yo/edit?usp=sharing"",""น่าน!M475"")"),76370)</f>
        <v>76370</v>
      </c>
      <c r="O580" s="372">
        <f t="shared" ref="O580:O584" ca="1" si="124">+IF(L580&gt;0,N580*100/L580,0)</f>
        <v>25.587161188729187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IFERROR(__xludf.DUMMYFUNCTION("IMPORTRANGE(""https://docs.google.com/spreadsheets/d/11923uPwbBZFjjGgGUA6NLw09EwE0CqkOc4q9oUmW1yo/edit?usp=sharing"",""น่าน!M477"")"),76370)</f>
        <v>76370</v>
      </c>
      <c r="O582" s="168">
        <f t="shared" ca="1" si="124"/>
        <v>25.587161188729187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IFERROR(__xludf.DUMMYFUNCTION("IMPORTRANGE(""https://docs.google.com/spreadsheets/d/11923uPwbBZFjjGgGUA6NLw09EwE0CqkOc4q9oUmW1yo/edit?usp=sharing"",""น่าน!M479"")"),76370)</f>
        <v>76370</v>
      </c>
      <c r="O584" s="168">
        <f t="shared" ca="1" si="124"/>
        <v>25.587161188729187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IFERROR(__xludf.DUMMYFUNCTION("IMPORTRANGE(""https://docs.google.com/spreadsheets/d/11923uPwbBZFjjGgGUA6NLw09EwE0CqkOc4q9oUmW1yo/edit?usp=sharing"",""น่าน!M482"")"),73320)</f>
        <v>73320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IFERROR(__xludf.DUMMYFUNCTION("IMPORTRANGE(""https://docs.google.com/spreadsheets/d/11923uPwbBZFjjGgGUA6NLw09EwE0CqkOc4q9oUmW1yo/edit?usp=sharing"",""น่าน!J484"")"),5)</f>
        <v>5</v>
      </c>
      <c r="K589" s="163">
        <f t="shared" ref="K589:K596" ca="1" si="125">IF(I589&gt;0,J589*100/I589,0)</f>
        <v>7.1428571428571432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IFERROR(__xludf.DUMMYFUNCTION("IMPORTRANGE(""https://docs.google.com/spreadsheets/d/11923uPwbBZFjjGgGUA6NLw09EwE0CqkOc4q9oUmW1yo/edit?usp=sharing"",""น่าน!J485"")"),3.57)</f>
        <v>3.57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IFERROR(__xludf.DUMMYFUNCTION("IMPORTRANGE(""https://docs.google.com/spreadsheets/d/11923uPwbBZFjjGgGUA6NLw09EwE0CqkOc4q9oUmW1yo/edit?usp=sharing"",""น่าน!J486"")"),2)</f>
        <v>2</v>
      </c>
      <c r="K591" s="163">
        <f t="shared" ca="1" si="125"/>
        <v>2.8571428571428572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IFERROR(__xludf.DUMMYFUNCTION("IMPORTRANGE(""https://docs.google.com/spreadsheets/d/11923uPwbBZFjjGgGUA6NLw09EwE0CqkOc4q9oUmW1yo/edit?usp=sharing"",""น่าน!J487"")"),0.77)</f>
        <v>0.77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IFERROR(__xludf.DUMMYFUNCTION("IMPORTRANGE(""https://docs.google.com/spreadsheets/d/11923uPwbBZFjjGgGUA6NLw09EwE0CqkOc4q9oUmW1yo/edit?usp=sharing"",""น่าน!J490"")"),4)</f>
        <v>4</v>
      </c>
      <c r="K595" s="163">
        <f t="shared" ca="1" si="125"/>
        <v>5.7142857142857144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IFERROR(__xludf.DUMMYFUNCTION("IMPORTRANGE(""https://docs.google.com/spreadsheets/d/11923uPwbBZFjjGgGUA6NLw09EwE0CqkOc4q9oUmW1yo/edit?usp=sharing"",""น่าน!J491"")"),0.88)</f>
        <v>0.88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7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IFERROR(__xludf.DUMMYFUNCTION("IMPORTRANGE(""https://docs.google.com/spreadsheets/d/11923uPwbBZFjjGgGUA6NLw09EwE0CqkOc4q9oUmW1yo/edit?usp=sharing"",""น่าน!M492"")"),1800)</f>
        <v>1800</v>
      </c>
      <c r="O597" s="411">
        <f t="shared" ref="O597:O601" ca="1" si="126">+IF(L597&gt;0,N597*100/L597,0)</f>
        <v>20.224719101123597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IFERROR(__xludf.DUMMYFUNCTION("IMPORTRANGE(""https://docs.google.com/spreadsheets/d/11923uPwbBZFjjGgGUA6NLw09EwE0CqkOc4q9oUmW1yo/edit?usp=sharing"",""น่าน!J523"")"),2696073.88)</f>
        <v>2696073.88</v>
      </c>
      <c r="K628" s="342">
        <f t="shared" ref="K628:K635" ca="1" si="129">IF(I628&gt;0,J628*100/I628,0)</f>
        <v>52.324902196307278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IFERROR(__xludf.DUMMYFUNCTION("IMPORTRANGE(""https://docs.google.com/spreadsheets/d/11923uPwbBZFjjGgGUA6NLw09EwE0CqkOc4q9oUmW1yo/edit?usp=sharing"",""น่าน!J524"")"),179)</f>
        <v>179</v>
      </c>
      <c r="K629" s="342">
        <f t="shared" ca="1" si="129"/>
        <v>54.740061162079513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IFERROR(__xludf.DUMMYFUNCTION("IMPORTRANGE(""https://docs.google.com/spreadsheets/d/11923uPwbBZFjjGgGUA6NLw09EwE0CqkOc4q9oUmW1yo/edit?usp=sharing"",""น่าน!J525"")"),390808.1)</f>
        <v>390808.1</v>
      </c>
      <c r="K630" s="342">
        <f t="shared" ca="1" si="129"/>
        <v>36.559066838121517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IFERROR(__xludf.DUMMYFUNCTION("IMPORTRANGE(""https://docs.google.com/spreadsheets/d/11923uPwbBZFjjGgGUA6NLw09EwE0CqkOc4q9oUmW1yo/edit?usp=sharing"",""น่าน!J526"")"),59)</f>
        <v>59</v>
      </c>
      <c r="K631" s="342">
        <f t="shared" ca="1" si="129"/>
        <v>86.764705882352942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IFERROR(__xludf.DUMMYFUNCTION("IMPORTRANGE(""https://docs.google.com/spreadsheets/d/11923uPwbBZFjjGgGUA6NLw09EwE0CqkOc4q9oUmW1yo/edit?usp=sharing"",""น่าน!J529"")"),2210000)</f>
        <v>2210000</v>
      </c>
      <c r="K634" s="342">
        <f t="shared" ca="1" si="129"/>
        <v>36.833333333333336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IFERROR(__xludf.DUMMYFUNCTION("IMPORTRANGE(""https://docs.google.com/spreadsheets/d/11923uPwbBZFjjGgGUA6NLw09EwE0CqkOc4q9oUmW1yo/edit?usp=sharing"",""น่าน!I530"")"),223)</f>
        <v>223</v>
      </c>
      <c r="J635" s="504">
        <f ca="1">IFERROR(__xludf.DUMMYFUNCTION("IMPORTRANGE(""https://docs.google.com/spreadsheets/d/11923uPwbBZFjjGgGUA6NLw09EwE0CqkOc4q9oUmW1yo/edit?usp=sharing"",""น่าน!J530"")"),52)</f>
        <v>52</v>
      </c>
      <c r="K635" s="486">
        <f t="shared" ca="1" si="129"/>
        <v>23.318385650224215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IFERROR(__xludf.DUMMYFUNCTION("IMPORTRANGE(""https://docs.google.com/spreadsheets/d/11923uPwbBZFjjGgGUA6NLw09EwE0CqkOc4q9oUmW1yo/edit?usp=sharing"",""น่าน!J541"")"),0)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IFERROR(__xludf.DUMMYFUNCTION("IMPORTRANGE(""https://docs.google.com/spreadsheets/d/11923uPwbBZFjjGgGUA6NLw09EwE0CqkOc4q9oUmW1yo/edit?usp=sharing"",""น่าน!J542"")"),0)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IFERROR(__xludf.DUMMYFUNCTION("IMPORTRANGE(""https://docs.google.com/spreadsheets/d/11923uPwbBZFjjGgGUA6NLw09EwE0CqkOc4q9oUmW1yo/edit?usp=sharing"",""น่าน!I543"")"),0)</f>
        <v>0</v>
      </c>
      <c r="J648" s="535">
        <f ca="1">IFERROR(__xludf.DUMMYFUNCTION("IMPORTRANGE(""https://docs.google.com/spreadsheets/d/11923uPwbBZFjjGgGUA6NLw09EwE0CqkOc4q9oUmW1yo/edit?usp=sharing"",""น่าน!J543"")"),0)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IFERROR(__xludf.DUMMYFUNCTION("IMPORTRANGE(""https://docs.google.com/spreadsheets/d/11923uPwbBZFjjGgGUA6NLw09EwE0CqkOc4q9oUmW1yo/edit?usp=sharing"",""น่าน!L543"")"),0)</f>
        <v>0</v>
      </c>
      <c r="M648" s="520"/>
      <c r="N648" s="537">
        <f ca="1">IFERROR(__xludf.DUMMYFUNCTION("IMPORTRANGE(""https://docs.google.com/spreadsheets/d/11923uPwbBZFjjGgGUA6NLw09EwE0CqkOc4q9oUmW1yo/edit?usp=sharing"",""น่าน!M543"")"),0)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IFERROR(__xludf.DUMMYFUNCTION("IMPORTRANGE(""https://docs.google.com/spreadsheets/d/11923uPwbBZFjjGgGUA6NLw09EwE0CqkOc4q9oUmW1yo/edit?usp=sharing"",""น่าน!I544"")"),0)</f>
        <v>0</v>
      </c>
      <c r="J649" s="535">
        <f ca="1">IFERROR(__xludf.DUMMYFUNCTION("IMPORTRANGE(""https://docs.google.com/spreadsheets/d/11923uPwbBZFjjGgGUA6NLw09EwE0CqkOc4q9oUmW1yo/edit?usp=sharing"",""น่าน!J544"")"),0)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IFERROR(__xludf.DUMMYFUNCTION("IMPORTRANGE(""https://docs.google.com/spreadsheets/d/11923uPwbBZFjjGgGUA6NLw09EwE0CqkOc4q9oUmW1yo/edit?usp=sharing"",""น่าน!L544"")"),0)</f>
        <v>0</v>
      </c>
      <c r="M649" s="520"/>
      <c r="N649" s="537">
        <f ca="1">IFERROR(__xludf.DUMMYFUNCTION("IMPORTRANGE(""https://docs.google.com/spreadsheets/d/11923uPwbBZFjjGgGUA6NLw09EwE0CqkOc4q9oUmW1yo/edit?usp=sharing"",""น่าน!M544"")"),0)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IFERROR(__xludf.DUMMYFUNCTION("IMPORTRANGE(""https://docs.google.com/spreadsheets/d/11923uPwbBZFjjGgGUA6NLw09EwE0CqkOc4q9oUmW1yo/edit?usp=sharing"",""น่าน!I545"")"),0)</f>
        <v>0</v>
      </c>
      <c r="J650" s="535">
        <f ca="1">IFERROR(__xludf.DUMMYFUNCTION("IMPORTRANGE(""https://docs.google.com/spreadsheets/d/11923uPwbBZFjjGgGUA6NLw09EwE0CqkOc4q9oUmW1yo/edit?usp=sharing"",""น่าน!J545"")"),0)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IFERROR(__xludf.DUMMYFUNCTION("IMPORTRANGE(""https://docs.google.com/spreadsheets/d/11923uPwbBZFjjGgGUA6NLw09EwE0CqkOc4q9oUmW1yo/edit?usp=sharing"",""น่าน!L545"")"),0)</f>
        <v>0</v>
      </c>
      <c r="M650" s="520"/>
      <c r="N650" s="537">
        <f ca="1">IFERROR(__xludf.DUMMYFUNCTION("IMPORTRANGE(""https://docs.google.com/spreadsheets/d/11923uPwbBZFjjGgGUA6NLw09EwE0CqkOc4q9oUmW1yo/edit?usp=sharing"",""น่าน!M545"")"),0)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IFERROR(__xludf.DUMMYFUNCTION("IMPORTRANGE(""https://docs.google.com/spreadsheets/d/11923uPwbBZFjjGgGUA6NLw09EwE0CqkOc4q9oUmW1yo/edit?usp=sharing"",""น่าน!I546"")"),0)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IFERROR(__xludf.DUMMYFUNCTION("IMPORTRANGE(""https://docs.google.com/spreadsheets/d/11923uPwbBZFjjGgGUA6NLw09EwE0CqkOc4q9oUmW1yo/edit?usp=sharing"",""น่าน!L546"")"),0)</f>
        <v>0</v>
      </c>
      <c r="M651" s="520"/>
      <c r="N651" s="537">
        <f ca="1">IFERROR(__xludf.DUMMYFUNCTION("IMPORTRANGE(""https://docs.google.com/spreadsheets/d/11923uPwbBZFjjGgGUA6NLw09EwE0CqkOc4q9oUmW1yo/edit?usp=sharing"",""น่าน!M546"")"),0)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IFERROR(__xludf.DUMMYFUNCTION("IMPORTRANGE(""https://docs.google.com/spreadsheets/d/11923uPwbBZFjjGgGUA6NLw09EwE0CqkOc4q9oUmW1yo/edit?usp=sharing"",""น่าน!J547"")"),0)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IFERROR(__xludf.DUMMYFUNCTION("IMPORTRANGE(""https://docs.google.com/spreadsheets/d/11923uPwbBZFjjGgGUA6NLw09EwE0CqkOc4q9oUmW1yo/edit?usp=sharing"",""น่าน!J548"")"),0)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IFERROR(__xludf.DUMMYFUNCTION("IMPORTRANGE(""https://docs.google.com/spreadsheets/d/11923uPwbBZFjjGgGUA6NLw09EwE0CqkOc4q9oUmW1yo/edit?usp=sharing"",""น่าน!J550"")"),0)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IFERROR(__xludf.DUMMYFUNCTION("IMPORTRANGE(""https://docs.google.com/spreadsheets/d/11923uPwbBZFjjGgGUA6NLw09EwE0CqkOc4q9oUmW1yo/edit?usp=sharing"",""น่าน!J551"")"),0)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IFERROR(__xludf.DUMMYFUNCTION("IMPORTRANGE(""https://docs.google.com/spreadsheets/d/11923uPwbBZFjjGgGUA6NLw09EwE0CqkOc4q9oUmW1yo/edit?usp=sharing"",""น่าน!J552"")"),0)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IFERROR(__xludf.DUMMYFUNCTION("IMPORTRANGE(""https://docs.google.com/spreadsheets/d/11923uPwbBZFjjGgGUA6NLw09EwE0CqkOc4q9oUmW1yo/edit?usp=sharing"",""น่าน!J553"")"),0)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IFERROR(__xludf.DUMMYFUNCTION("IMPORTRANGE(""https://docs.google.com/spreadsheets/d/11923uPwbBZFjjGgGUA6NLw09EwE0CqkOc4q9oUmW1yo/edit?usp=sharing"",""น่าน!J554"")"),0)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IFERROR(__xludf.DUMMYFUNCTION("IMPORTRANGE(""https://docs.google.com/spreadsheets/d/11923uPwbBZFjjGgGUA6NLw09EwE0CqkOc4q9oUmW1yo/edit?usp=sharing"",""น่าน!J555"")"),0)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IFERROR(__xludf.DUMMYFUNCTION("IMPORTRANGE(""https://docs.google.com/spreadsheets/d/11923uPwbBZFjjGgGUA6NLw09EwE0CqkOc4q9oUmW1yo/edit?usp=sharing"",""น่าน!J556"")"),0)</f>
        <v>0</v>
      </c>
      <c r="K661" s="536"/>
      <c r="L661" s="521">
        <f ca="1">IFERROR(__xludf.DUMMYFUNCTION("IMPORTRANGE(""https://docs.google.com/spreadsheets/d/11923uPwbBZFjjGgGUA6NLw09EwE0CqkOc4q9oUmW1yo/edit?usp=sharing"",""น่าน!L556"")"),0)</f>
        <v>0</v>
      </c>
      <c r="M661" s="520"/>
      <c r="N661" s="537">
        <f ca="1">IFERROR(__xludf.DUMMYFUNCTION("IMPORTRANGE(""https://docs.google.com/spreadsheets/d/11923uPwbBZFjjGgGUA6NLw09EwE0CqkOc4q9oUmW1yo/edit?usp=sharing"",""น่าน!M556"")"),0)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IFERROR(__xludf.DUMMYFUNCTION("IMPORTRANGE(""https://docs.google.com/spreadsheets/d/11923uPwbBZFjjGgGUA6NLw09EwE0CqkOc4q9oUmW1yo/edit?usp=sharing"",""น่าน!J557"")"),0)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IFERROR(__xludf.DUMMYFUNCTION("IMPORTRANGE(""https://docs.google.com/spreadsheets/d/11923uPwbBZFjjGgGUA6NLw09EwE0CqkOc4q9oUmW1yo/edit?usp=sharing"",""น่าน!I558"")"),0)</f>
        <v>0</v>
      </c>
      <c r="J663" s="535">
        <f ca="1">IFERROR(__xludf.DUMMYFUNCTION("IMPORTRANGE(""https://docs.google.com/spreadsheets/d/11923uPwbBZFjjGgGUA6NLw09EwE0CqkOc4q9oUmW1yo/edit?usp=sharing"",""น่าน!J558"")"),0)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IFERROR(__xludf.DUMMYFUNCTION("IMPORTRANGE(""https://docs.google.com/spreadsheets/d/11923uPwbBZFjjGgGUA6NLw09EwE0CqkOc4q9oUmW1yo/edit?usp=sharing"",""น่าน!I560"")"),0)</f>
        <v>0</v>
      </c>
      <c r="J665" s="535">
        <f ca="1">IFERROR(__xludf.DUMMYFUNCTION("IMPORTRANGE(""https://docs.google.com/spreadsheets/d/11923uPwbBZFjjGgGUA6NLw09EwE0CqkOc4q9oUmW1yo/edit?usp=sharing"",""น่าน!J560"")"),0)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IFERROR(__xludf.DUMMYFUNCTION("IMPORTRANGE(""https://docs.google.com/spreadsheets/d/11923uPwbBZFjjGgGUA6NLw09EwE0CqkOc4q9oUmW1yo/edit?usp=sharing"",""น่าน!L560"")"),0)</f>
        <v>0</v>
      </c>
      <c r="M665" s="520"/>
      <c r="N665" s="537">
        <f ca="1">IFERROR(__xludf.DUMMYFUNCTION("IMPORTRANGE(""https://docs.google.com/spreadsheets/d/11923uPwbBZFjjGgGUA6NLw09EwE0CqkOc4q9oUmW1yo/edit?usp=sharing"",""น่าน!M560"")"),0)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IFERROR(__xludf.DUMMYFUNCTION("IMPORTRANGE(""https://docs.google.com/spreadsheets/d/11923uPwbBZFjjGgGUA6NLw09EwE0CqkOc4q9oUmW1yo/edit?usp=sharing"",""น่าน!J561"")"),0)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IFERROR(__xludf.DUMMYFUNCTION("IMPORTRANGE(""https://docs.google.com/spreadsheets/d/11923uPwbBZFjjGgGUA6NLw09EwE0CqkOc4q9oUmW1yo/edit?usp=sharing"",""น่าน!J562"")"),0)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IFERROR(__xludf.DUMMYFUNCTION("IMPORTRANGE(""https://docs.google.com/spreadsheets/d/11923uPwbBZFjjGgGUA6NLw09EwE0CqkOc4q9oUmW1yo/edit?usp=sharing"",""น่าน!I563"")"),0)</f>
        <v>0</v>
      </c>
      <c r="J668" s="535">
        <f ca="1">IFERROR(__xludf.DUMMYFUNCTION("IMPORTRANGE(""https://docs.google.com/spreadsheets/d/11923uPwbBZFjjGgGUA6NLw09EwE0CqkOc4q9oUmW1yo/edit?usp=sharing"",""น่าน!J563"")"),0)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IFERROR(__xludf.DUMMYFUNCTION("IMPORTRANGE(""https://docs.google.com/spreadsheets/d/11923uPwbBZFjjGgGUA6NLw09EwE0CqkOc4q9oUmW1yo/edit?usp=sharing"",""น่าน!L563"")"),0)</f>
        <v>0</v>
      </c>
      <c r="M668" s="520"/>
      <c r="N668" s="537">
        <f ca="1">IFERROR(__xludf.DUMMYFUNCTION("IMPORTRANGE(""https://docs.google.com/spreadsheets/d/11923uPwbBZFjjGgGUA6NLw09EwE0CqkOc4q9oUmW1yo/edit?usp=sharing"",""น่าน!M563"")"),0)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IFERROR(__xludf.DUMMYFUNCTION("IMPORTRANGE(""https://docs.google.com/spreadsheets/d/11923uPwbBZFjjGgGUA6NLw09EwE0CqkOc4q9oUmW1yo/edit?usp=sharing"",""น่าน!J564"")"),0)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IFERROR(__xludf.DUMMYFUNCTION("IMPORTRANGE(""https://docs.google.com/spreadsheets/d/11923uPwbBZFjjGgGUA6NLw09EwE0CqkOc4q9oUmW1yo/edit?usp=sharing"",""น่าน!J565"")"),0)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IFERROR(__xludf.DUMMYFUNCTION("IMPORTRANGE(""https://docs.google.com/spreadsheets/d/11923uPwbBZFjjGgGUA6NLw09EwE0CqkOc4q9oUmW1yo/edit?usp=sharing"",""น่าน!I566"")"),0)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IFERROR(__xludf.DUMMYFUNCTION("IMPORTRANGE(""https://docs.google.com/spreadsheets/d/11923uPwbBZFjjGgGUA6NLw09EwE0CqkOc4q9oUmW1yo/edit?usp=sharing"",""น่าน!L566"")"),0)</f>
        <v>0</v>
      </c>
      <c r="M671" s="520"/>
      <c r="N671" s="537">
        <f ca="1">IFERROR(__xludf.DUMMYFUNCTION("IMPORTRANGE(""https://docs.google.com/spreadsheets/d/11923uPwbBZFjjGgGUA6NLw09EwE0CqkOc4q9oUmW1yo/edit?usp=sharing"",""น่าน!M566"")"),0)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IFERROR(__xludf.DUMMYFUNCTION("IMPORTRANGE(""https://docs.google.com/spreadsheets/d/11923uPwbBZFjjGgGUA6NLw09EwE0CqkOc4q9oUmW1yo/edit?usp=sharing"",""น่าน!J567"")"),0)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IFERROR(__xludf.DUMMYFUNCTION("IMPORTRANGE(""https://docs.google.com/spreadsheets/d/11923uPwbBZFjjGgGUA6NLw09EwE0CqkOc4q9oUmW1yo/edit?usp=sharing"",""น่าน!J568"")"),0)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IFERROR(__xludf.DUMMYFUNCTION("IMPORTRANGE(""https://docs.google.com/spreadsheets/d/11923uPwbBZFjjGgGUA6NLw09EwE0CqkOc4q9oUmW1yo/edit?usp=sharing"",""น่าน!J569"")"),0)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IFERROR(__xludf.DUMMYFUNCTION("IMPORTRANGE(""https://docs.google.com/spreadsheets/d/11923uPwbBZFjjGgGUA6NLw09EwE0CqkOc4q9oUmW1yo/edit?usp=sharing"",""น่าน!J570"")"),0)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IFERROR(__xludf.DUMMYFUNCTION("IMPORTRANGE(""https://docs.google.com/spreadsheets/d/11923uPwbBZFjjGgGUA6NLw09EwE0CqkOc4q9oUmW1yo/edit?usp=sharing"",""น่าน!J571"")"),0)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IFERROR(__xludf.DUMMYFUNCTION("IMPORTRANGE(""https://docs.google.com/spreadsheets/d/11923uPwbBZFjjGgGUA6NLw09EwE0CqkOc4q9oUmW1yo/edit?usp=sharing"",""น่าน!J572"")"),0)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272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6316311</v>
      </c>
      <c r="M8" s="23">
        <f t="shared" ca="1" si="0"/>
        <v>3188124.3</v>
      </c>
      <c r="N8" s="23">
        <f t="shared" ca="1" si="0"/>
        <v>3441521.04</v>
      </c>
      <c r="O8" s="22">
        <f t="shared" ref="O8:O16" ca="1" si="1">IF(L8&gt;0,N8*100/L8,0)</f>
        <v>54.486250597856881</v>
      </c>
      <c r="P8" s="22">
        <f t="shared" ref="P8:P16" ca="1" si="2">IF(M8&gt;0,N8*100/M8,0)</f>
        <v>107.94814493274306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6316311</v>
      </c>
      <c r="M10" s="30">
        <f t="shared" ca="1" si="4"/>
        <v>3188124.3</v>
      </c>
      <c r="N10" s="30">
        <f t="shared" ca="1" si="4"/>
        <v>3441521.04</v>
      </c>
      <c r="O10" s="29">
        <f t="shared" ca="1" si="1"/>
        <v>54.486250597856881</v>
      </c>
      <c r="P10" s="29">
        <f t="shared" ca="1" si="2"/>
        <v>107.94814493274306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5924511</v>
      </c>
      <c r="M12" s="39">
        <f t="shared" ca="1" si="6"/>
        <v>2796324.3</v>
      </c>
      <c r="N12" s="39">
        <f t="shared" ca="1" si="6"/>
        <v>3049721.04</v>
      </c>
      <c r="O12" s="39">
        <f t="shared" ca="1" si="1"/>
        <v>51.476333489801945</v>
      </c>
      <c r="P12" s="39">
        <f t="shared" ca="1" si="2"/>
        <v>109.06177942236529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4192311</v>
      </c>
      <c r="M14" s="39">
        <f t="shared" si="8"/>
        <v>0</v>
      </c>
      <c r="N14" s="39">
        <f t="shared" ca="1" si="8"/>
        <v>914731.78999999992</v>
      </c>
      <c r="O14" s="39">
        <f t="shared" ca="1" si="1"/>
        <v>21.819273188463352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3188124.3</v>
      </c>
      <c r="N18" s="23">
        <f t="shared" ca="1" si="11"/>
        <v>2526789.25</v>
      </c>
      <c r="O18" s="22">
        <f t="shared" ref="O18:O20" ca="1" si="12">IF(L18&gt;0,N18*100/L18,0)</f>
        <v>67.043593910649733</v>
      </c>
      <c r="P18" s="22">
        <f t="shared" ref="P18:P26" ca="1" si="13">IF(M18&gt;0,N18*100/M18,0)</f>
        <v>79.256296562841044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3188124.3</v>
      </c>
      <c r="N20" s="30">
        <f t="shared" ca="1" si="15"/>
        <v>2526789.25</v>
      </c>
      <c r="O20" s="29">
        <f t="shared" ca="1" si="12"/>
        <v>67.043593910649733</v>
      </c>
      <c r="P20" s="29">
        <f t="shared" ca="1" si="13"/>
        <v>79.256296562841044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3377075</v>
      </c>
      <c r="M22" s="42">
        <f t="shared" ca="1" si="18"/>
        <v>2796324.3</v>
      </c>
      <c r="N22" s="39">
        <f t="shared" ca="1" si="18"/>
        <v>2134989.25</v>
      </c>
      <c r="O22" s="39">
        <f t="shared" ca="1" si="17"/>
        <v>63.22007210381765</v>
      </c>
      <c r="P22" s="39">
        <f t="shared" ca="1" si="13"/>
        <v>76.349844329572221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1644875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2547436</v>
      </c>
      <c r="M28" s="23">
        <f t="shared" si="23"/>
        <v>0</v>
      </c>
      <c r="N28" s="23">
        <f t="shared" ca="1" si="23"/>
        <v>914731.78999999992</v>
      </c>
      <c r="O28" s="22">
        <f t="shared" ref="O28:O30" ca="1" si="24">IF(L28&gt;0,N28*100/L28,0)</f>
        <v>35.907939983575638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2547436</v>
      </c>
      <c r="M30" s="30">
        <f t="shared" si="27"/>
        <v>0</v>
      </c>
      <c r="N30" s="30">
        <f t="shared" ca="1" si="27"/>
        <v>914731.78999999992</v>
      </c>
      <c r="O30" s="29">
        <f t="shared" ca="1" si="24"/>
        <v>35.907939983575638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2547436</v>
      </c>
      <c r="M32" s="39">
        <f t="shared" si="30"/>
        <v>0</v>
      </c>
      <c r="N32" s="39">
        <f t="shared" ca="1" si="30"/>
        <v>914731.78999999992</v>
      </c>
      <c r="O32" s="39">
        <f t="shared" ca="1" si="29"/>
        <v>35.907939983575638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2547436</v>
      </c>
      <c r="M34" s="39">
        <f t="shared" si="32"/>
        <v>0</v>
      </c>
      <c r="N34" s="39">
        <f t="shared" ca="1" si="32"/>
        <v>914731.78999999992</v>
      </c>
      <c r="O34" s="39">
        <f t="shared" ca="1" si="29"/>
        <v>35.907939983575638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3768875</v>
      </c>
      <c r="M37" s="55">
        <f t="shared" ca="1" si="33"/>
        <v>3188124.3</v>
      </c>
      <c r="N37" s="55">
        <f t="shared" ca="1" si="33"/>
        <v>2526789.25</v>
      </c>
      <c r="O37" s="56">
        <f t="shared" ca="1" si="29"/>
        <v>67.043593910649733</v>
      </c>
      <c r="P37" s="56">
        <f t="shared" ca="1" si="25"/>
        <v>79.256296562841044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656800</v>
      </c>
      <c r="N41" s="79">
        <f t="shared" ca="1" si="34"/>
        <v>540911.81000000006</v>
      </c>
      <c r="O41" s="78">
        <f t="shared" ref="O41:O43" ca="1" si="35">IF(L41&gt;0,N41*100/L41,0)</f>
        <v>66.639375384994466</v>
      </c>
      <c r="P41" s="78">
        <f t="shared" ref="P41:P43" ca="1" si="36">IF(M41&gt;0,N41*100/M41,0)</f>
        <v>82.355634896467734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656800</v>
      </c>
      <c r="N43" s="79">
        <f t="shared" ca="1" si="38"/>
        <v>540911.81000000006</v>
      </c>
      <c r="O43" s="78">
        <f t="shared" ca="1" si="35"/>
        <v>66.639375384994466</v>
      </c>
      <c r="P43" s="78">
        <f t="shared" ca="1" si="36"/>
        <v>82.355634896467734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IFERROR(__xludf.DUMMYFUNCTION("IMPORTRANGE(""https://docs.google.com/spreadsheets/d/1Yj_ptqi66GCucihVvJfMjLAmec39IyEx_6qawtMGysU/edit?usp=sharing"",""สบก!Q26"")"),464800)</f>
        <v>464800</v>
      </c>
      <c r="N45" s="50">
        <f ca="1">IFERROR(__xludf.DUMMYFUNCTION("IMPORTRANGE(""https://docs.google.com/spreadsheets/d/1Yj_ptqi66GCucihVvJfMjLAmec39IyEx_6qawtMGysU/edit?usp=sharing"",""สบก!R26"")"),348911.81)</f>
        <v>348911.81</v>
      </c>
      <c r="O45" s="39">
        <f ca="1">IF(L45&gt;0,N45*100/L45,0)</f>
        <v>56.30334193964822</v>
      </c>
      <c r="P45" s="39">
        <f ca="1">IF(M45&gt;0,N45*100/M45,0)</f>
        <v>75.067084767642001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363649.3</v>
      </c>
      <c r="N53" s="121">
        <f t="shared" ca="1" si="39"/>
        <v>298480</v>
      </c>
      <c r="O53" s="120">
        <f t="shared" ref="O53:O55" ca="1" si="40">IF(L53&gt;0,N53*100/L53,0)</f>
        <v>65.456140350877192</v>
      </c>
      <c r="P53" s="120">
        <f t="shared" ref="P53:P55" ca="1" si="41">IF(M53&gt;0,N53*100/M53,0)</f>
        <v>82.079080036727703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363649.3</v>
      </c>
      <c r="N55" s="121">
        <f t="shared" ca="1" si="43"/>
        <v>298480</v>
      </c>
      <c r="O55" s="120">
        <f t="shared" ca="1" si="40"/>
        <v>65.456140350877192</v>
      </c>
      <c r="P55" s="120">
        <f t="shared" ca="1" si="41"/>
        <v>82.079080036727703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IFERROR(__xludf.DUMMYFUNCTION("IMPORTRANGE(""https://docs.google.com/spreadsheets/d/1Yj_ptqi66GCucihVvJfMjLAmec39IyEx_6qawtMGysU/edit?usp=sharing"",""สบก!Z26"")"),363649.3)</f>
        <v>363649.3</v>
      </c>
      <c r="N57" s="50">
        <f ca="1">IFERROR(__xludf.DUMMYFUNCTION("IMPORTRANGE(""https://docs.google.com/spreadsheets/d/1Yj_ptqi66GCucihVvJfMjLAmec39IyEx_6qawtMGysU/edit?usp=sharing"",""สบก!AA26"")"),298480)</f>
        <v>298480</v>
      </c>
      <c r="O57" s="39">
        <f ca="1">IF(L57&gt;0,N57*100/L57,0)</f>
        <v>65.456140350877192</v>
      </c>
      <c r="P57" s="39">
        <f ca="1">IF(M57&gt;0,N57*100/M57,0)</f>
        <v>82.079080036727703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338620</v>
      </c>
      <c r="N66" s="152">
        <f t="shared" ca="1" si="45"/>
        <v>145341.74</v>
      </c>
      <c r="O66" s="151">
        <f t="shared" ref="O66:O68" ca="1" si="46">IF(L66&gt;0,N66*100/L66,0)</f>
        <v>38.047575916230365</v>
      </c>
      <c r="P66" s="151">
        <f t="shared" ref="P66:P68" ca="1" si="47">IF(M66&gt;0,N66*100/M66,0)</f>
        <v>42.921782529088652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338620</v>
      </c>
      <c r="N68" s="88">
        <f t="shared" ca="1" si="49"/>
        <v>145341.74</v>
      </c>
      <c r="O68" s="156">
        <f t="shared" ca="1" si="46"/>
        <v>38.047575916230365</v>
      </c>
      <c r="P68" s="156">
        <f t="shared" ca="1" si="47"/>
        <v>42.921782529088652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IFERROR(__xludf.DUMMYFUNCTION("IMPORTRANGE(""https://docs.google.com/spreadsheets/d/1Yj_ptqi66GCucihVvJfMjLAmec39IyEx_6qawtMGysU/edit?usp=sharing"",""สบก!AI26"")"),338620)</f>
        <v>338620</v>
      </c>
      <c r="N70" s="168">
        <f ca="1">IFERROR(__xludf.DUMMYFUNCTION("IMPORTRANGE(""https://docs.google.com/spreadsheets/d/1Yj_ptqi66GCucihVvJfMjLAmec39IyEx_6qawtMGysU/edit?usp=sharing"",""สบก!AJ26"")"),145341.74)</f>
        <v>145341.74</v>
      </c>
      <c r="O70" s="168">
        <f ca="1">IF(L70&gt;0,N70*100/L70,0)</f>
        <v>38.047575916230365</v>
      </c>
      <c r="P70" s="168">
        <f ca="1">IF(M70&gt;0,N70*100/M70,0)</f>
        <v>42.921782529088652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254715</v>
      </c>
      <c r="O94" s="151">
        <f t="shared" ref="O94:O96" ca="1" si="53">IF(L94&gt;0,N94*100/L94,0)</f>
        <v>79.857975921745677</v>
      </c>
      <c r="P94" s="151">
        <f t="shared" ref="P94:P96" ca="1" si="54">IF(M94&gt;0,N94*100/M94,0)</f>
        <v>85.213187695498718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254715</v>
      </c>
      <c r="O96" s="156">
        <f t="shared" ca="1" si="53"/>
        <v>79.857975921745677</v>
      </c>
      <c r="P96" s="156">
        <f t="shared" ca="1" si="54"/>
        <v>85.213187695498718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IFERROR(__xludf.DUMMYFUNCTION("IMPORTRANGE(""https://docs.google.com/spreadsheets/d/1Yj_ptqi66GCucihVvJfMjLAmec39IyEx_6qawtMGysU/edit?usp=sharing"",""สบก!AR26"")"),114115)</f>
        <v>114115</v>
      </c>
      <c r="N98" s="168">
        <f ca="1">IFERROR(__xludf.DUMMYFUNCTION("IMPORTRANGE(""https://docs.google.com/spreadsheets/d/1Yj_ptqi66GCucihVvJfMjLAmec39IyEx_6qawtMGysU/edit?usp=sharing"",""สบก!AS26"")"),69915)</f>
        <v>69915</v>
      </c>
      <c r="O98" s="168">
        <f ca="1">IF(L98&gt;0,N98*100/L98,0)</f>
        <v>52.113148479427551</v>
      </c>
      <c r="P98" s="168">
        <f ca="1">IF(M98&gt;0,N98*100/M98,0)</f>
        <v>61.267142794549358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67121</v>
      </c>
      <c r="O118" s="151">
        <f t="shared" ref="O118:O120" ca="1" si="59">IF(L118&gt;0,N118*100/L118,0)</f>
        <v>81.418000970402716</v>
      </c>
      <c r="P118" s="151">
        <f t="shared" ref="P118:P120" ca="1" si="60">IF(M118&gt;0,N118*100/M118,0)</f>
        <v>81.418000970402716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67121</v>
      </c>
      <c r="O120" s="156">
        <f t="shared" ca="1" si="59"/>
        <v>81.418000970402716</v>
      </c>
      <c r="P120" s="156">
        <f t="shared" ca="1" si="60"/>
        <v>81.418000970402716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IFERROR(__xludf.DUMMYFUNCTION("IMPORTRANGE(""https://docs.google.com/spreadsheets/d/1Yj_ptqi66GCucihVvJfMjLAmec39IyEx_6qawtMGysU/edit?usp=sharing"",""สบก!BA26"")"),82440)</f>
        <v>82440</v>
      </c>
      <c r="N122" s="168">
        <f ca="1">IFERROR(__xludf.DUMMYFUNCTION("IMPORTRANGE(""https://docs.google.com/spreadsheets/d/1Yj_ptqi66GCucihVvJfMjLAmec39IyEx_6qawtMGysU/edit?usp=sharing"",""สบก!BB26"")"),67121)</f>
        <v>67121</v>
      </c>
      <c r="O122" s="168">
        <f ca="1">IF(L122&gt;0,N122*100/L122,0)</f>
        <v>81.418000970402716</v>
      </c>
      <c r="P122" s="168">
        <f ca="1">IF(M122&gt;0,N122*100/M122,0)</f>
        <v>81.418000970402716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828600</v>
      </c>
      <c r="M140" s="152">
        <f t="shared" ca="1" si="64"/>
        <v>713325</v>
      </c>
      <c r="N140" s="152">
        <f t="shared" ca="1" si="64"/>
        <v>614525</v>
      </c>
      <c r="O140" s="151">
        <f t="shared" ref="O140:O142" ca="1" si="65">IF(L140&gt;0,N140*100/L140,0)</f>
        <v>74.164252956794599</v>
      </c>
      <c r="P140" s="151">
        <f t="shared" ref="P140:P142" ca="1" si="66">IF(M140&gt;0,N140*100/M140,0)</f>
        <v>86.149370903865702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828600</v>
      </c>
      <c r="M142" s="88">
        <f t="shared" ca="1" si="68"/>
        <v>713325</v>
      </c>
      <c r="N142" s="88">
        <f t="shared" ca="1" si="68"/>
        <v>614525</v>
      </c>
      <c r="O142" s="156">
        <f t="shared" ca="1" si="65"/>
        <v>74.164252956794599</v>
      </c>
      <c r="P142" s="156">
        <f t="shared" ca="1" si="66"/>
        <v>86.149370903865702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IFERROR(__xludf.DUMMYFUNCTION("IMPORTRANGE(""https://docs.google.com/spreadsheets/d/1Yj_ptqi66GCucihVvJfMjLAmec39IyEx_6qawtMGysU/edit?usp=sharing"",""สบก!BJ26"")"),713325)</f>
        <v>713325</v>
      </c>
      <c r="N144" s="168">
        <f ca="1">IFERROR(__xludf.DUMMYFUNCTION("IMPORTRANGE(""https://docs.google.com/spreadsheets/d/1Yj_ptqi66GCucihVvJfMjLAmec39IyEx_6qawtMGysU/edit?usp=sharing"",""สบก!BK26"")"),614525)</f>
        <v>614525</v>
      </c>
      <c r="O144" s="168">
        <f ca="1">IF(L144&gt;0,N144*100/L144,0)</f>
        <v>74.164252956794599</v>
      </c>
      <c r="P144" s="168">
        <f ca="1">IF(M144&gt;0,N144*100/M144,0)</f>
        <v>86.149370903865702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IFERROR(__xludf.DUMMYFUNCTION("IMPORTRANGE(""https://docs.google.com/spreadsheets/d/11923uPwbBZFjjGgGUA6NLw09EwE0CqkOc4q9oUmW1yo/edit?usp=sharing"",""พะเยา!J84"")"),170)</f>
        <v>170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IFERROR(__xludf.DUMMYFUNCTION("IMPORTRANGE(""https://docs.google.com/spreadsheets/d/11923uPwbBZFjjGgGUA6NLw09EwE0CqkOc4q9oUmW1yo/edit?usp=sharing"",""พะเยา!J85"")"),170)</f>
        <v>170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19799</v>
      </c>
      <c r="O250" s="151">
        <f t="shared" ref="O250:O252" ca="1" si="78">IF(L250&gt;0,N250*100/L250,0)</f>
        <v>27.729691876750699</v>
      </c>
      <c r="P250" s="151">
        <f t="shared" ref="P250:P252" ca="1" si="79">IF(M250&gt;0,N250*100/M250,0)</f>
        <v>47.140476190476193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19799</v>
      </c>
      <c r="O252" s="156">
        <f t="shared" ca="1" si="78"/>
        <v>27.729691876750699</v>
      </c>
      <c r="P252" s="156">
        <f t="shared" ca="1" si="79"/>
        <v>47.140476190476193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IFERROR(__xludf.DUMMYFUNCTION("IMPORTRANGE(""https://docs.google.com/spreadsheets/d/1Yj_ptqi66GCucihVvJfMjLAmec39IyEx_6qawtMGysU/edit?usp=sharing"",""สบก!CB26"")"),42000)</f>
        <v>42000</v>
      </c>
      <c r="N254" s="168">
        <f ca="1">IFERROR(__xludf.DUMMYFUNCTION("IMPORTRANGE(""https://docs.google.com/spreadsheets/d/1Yj_ptqi66GCucihVvJfMjLAmec39IyEx_6qawtMGysU/edit?usp=sharing"",""สบก!CC26"")"),19799)</f>
        <v>19799</v>
      </c>
      <c r="O254" s="168">
        <f ca="1">IF(L254&gt;0,N254*100/L254,0)</f>
        <v>27.729691876750699</v>
      </c>
      <c r="P254" s="168">
        <f ca="1">IF(M254&gt;0,N254*100/M254,0)</f>
        <v>47.140476190476193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130263</v>
      </c>
      <c r="O271" s="151">
        <f t="shared" ref="O271:O273" ca="1" si="84">IF(L271&gt;0,N271*100/L271,0)</f>
        <v>70.949346405228752</v>
      </c>
      <c r="P271" s="151">
        <f t="shared" ref="P271:P273" ca="1" si="85">IF(M271&gt;0,N271*100/M271,0)</f>
        <v>80.608292079207928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130263</v>
      </c>
      <c r="O273" s="156">
        <f t="shared" ca="1" si="84"/>
        <v>70.949346405228752</v>
      </c>
      <c r="P273" s="156">
        <f t="shared" ca="1" si="85"/>
        <v>80.608292079207928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IFERROR(__xludf.DUMMYFUNCTION("IMPORTRANGE(""https://docs.google.com/spreadsheets/d/1Yj_ptqi66GCucihVvJfMjLAmec39IyEx_6qawtMGysU/edit?usp=sharing"",""สบก!CK26"")"),161600)</f>
        <v>161600</v>
      </c>
      <c r="N275" s="168">
        <f ca="1">IFERROR(__xludf.DUMMYFUNCTION("IMPORTRANGE(""https://docs.google.com/spreadsheets/d/1Yj_ptqi66GCucihVvJfMjLAmec39IyEx_6qawtMGysU/edit?usp=sharing"",""สบก!CL26"")"),130263)</f>
        <v>130263</v>
      </c>
      <c r="O275" s="168">
        <f ca="1">IF(L275&gt;0,N275*100/L275,0)</f>
        <v>70.949346405228752</v>
      </c>
      <c r="P275" s="168">
        <f ca="1">IF(M275&gt;0,N275*100/M275,0)</f>
        <v>80.608292079207928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IFERROR(__xludf.DUMMYFUNCTION("IMPORTRANGE(""https://docs.google.com/spreadsheets/d/11923uPwbBZFjjGgGUA6NLw09EwE0CqkOc4q9oUmW1yo/edit?usp=sharing"",""พะเยา!J228"")"),334)</f>
        <v>334</v>
      </c>
      <c r="K328" s="317">
        <f ca="1">IF(I328&gt;0,J328*100/I328,0)</f>
        <v>57.586206896551722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509650</v>
      </c>
      <c r="N329" s="152">
        <f t="shared" ca="1" si="98"/>
        <v>434507.7</v>
      </c>
      <c r="O329" s="151">
        <f t="shared" ref="O329:O331" ca="1" si="99">IF(L329&gt;0,N329*100/L329,0)</f>
        <v>70.876388549057992</v>
      </c>
      <c r="P329" s="151">
        <f t="shared" ref="P329:P331" ca="1" si="100">IF(M329&gt;0,N329*100/M329,0)</f>
        <v>85.256097321691357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509650</v>
      </c>
      <c r="N331" s="88">
        <f t="shared" ca="1" si="102"/>
        <v>434507.7</v>
      </c>
      <c r="O331" s="156">
        <f t="shared" ca="1" si="99"/>
        <v>70.876388549057992</v>
      </c>
      <c r="P331" s="156">
        <f t="shared" ca="1" si="100"/>
        <v>85.256097321691357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IFERROR(__xludf.DUMMYFUNCTION("IMPORTRANGE(""https://docs.google.com/spreadsheets/d/1Yj_ptqi66GCucihVvJfMjLAmec39IyEx_6qawtMGysU/edit?usp=sharing"",""สบก!DL26"")"),494650)</f>
        <v>494650</v>
      </c>
      <c r="N333" s="168">
        <f ca="1">IFERROR(__xludf.DUMMYFUNCTION("IMPORTRANGE(""https://docs.google.com/spreadsheets/d/1Yj_ptqi66GCucihVvJfMjLAmec39IyEx_6qawtMGysU/edit?usp=sharing"",""สบก!DM26"")"),419507.7)</f>
        <v>419507.7</v>
      </c>
      <c r="O333" s="168">
        <f ca="1">IF(L333&gt;0,N333*100/L333,0)</f>
        <v>70.14592425382493</v>
      </c>
      <c r="P333" s="168">
        <f ca="1">IF(M333&gt;0,N333*100/M333,0)</f>
        <v>84.808996259981811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IFERROR(__xludf.DUMMYFUNCTION("IMPORTRANGE(""https://docs.google.com/spreadsheets/d/11923uPwbBZFjjGgGUA6NLw09EwE0CqkOc4q9oUmW1yo/edit?usp=sharing"",""พะเยา!J234"")"),191)</f>
        <v>191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IFERROR(__xludf.DUMMYFUNCTION("IMPORTRANGE(""https://docs.google.com/spreadsheets/d/11923uPwbBZFjjGgGUA6NLw09EwE0CqkOc4q9oUmW1yo/edit?usp=sharing"",""พะเยา!J235"")"),1173.83)</f>
        <v>1173.83</v>
      </c>
      <c r="K340" s="342">
        <f t="shared" ca="1" si="103"/>
        <v>58.691499999999998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IFERROR(__xludf.DUMMYFUNCTION("IMPORTRANGE(""https://docs.google.com/spreadsheets/d/11923uPwbBZFjjGgGUA6NLw09EwE0CqkOc4q9oUmW1yo/edit?usp=sharing"",""พะเยา!J236"")"),341)</f>
        <v>341</v>
      </c>
      <c r="K341" s="342">
        <f t="shared" ca="1" si="103"/>
        <v>58.793103448275865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IFERROR(__xludf.DUMMYFUNCTION("IMPORTRANGE(""https://docs.google.com/spreadsheets/d/11923uPwbBZFjjGgGUA6NLw09EwE0CqkOc4q9oUmW1yo/edit?usp=sharing"",""พะเยา!J237"")"),2507.10999999999)</f>
        <v>2507.1099999999901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IFERROR(__xludf.DUMMYFUNCTION("IMPORTRANGE(""https://docs.google.com/spreadsheets/d/11923uPwbBZFjjGgGUA6NLw09EwE0CqkOc4q9oUmW1yo/edit?usp=sharing"",""พะเยา!J238"")"),1)</f>
        <v>1</v>
      </c>
      <c r="K343" s="342">
        <f t="shared" ca="1" si="103"/>
        <v>0.17241379310344829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IFERROR(__xludf.DUMMYFUNCTION("IMPORTRANGE(""https://docs.google.com/spreadsheets/d/11923uPwbBZFjjGgGUA6NLw09EwE0CqkOc4q9oUmW1yo/edit?usp=sharing"",""พะเยา!J239"")"),6.29)</f>
        <v>6.29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IFERROR(__xludf.DUMMYFUNCTION("IMPORTRANGE(""https://docs.google.com/spreadsheets/d/11923uPwbBZFjjGgGUA6NLw09EwE0CqkOc4q9oUmW1yo/edit?usp=sharing"",""พะเยา!J240"")"),334)</f>
        <v>334</v>
      </c>
      <c r="K345" s="342">
        <f t="shared" ca="1" si="103"/>
        <v>57.586206896551722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IFERROR(__xludf.DUMMYFUNCTION("IMPORTRANGE(""https://docs.google.com/spreadsheets/d/11923uPwbBZFjjGgGUA6NLw09EwE0CqkOc4q9oUmW1yo/edit?usp=sharing"",""พะเยา!J241"")"),2313.73)</f>
        <v>2313.73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IFERROR(__xludf.DUMMYFUNCTION("IMPORTRANGE(""https://docs.google.com/spreadsheets/d/11923uPwbBZFjjGgGUA6NLw09EwE0CqkOc4q9oUmW1yo/edit?usp=sharing"",""พะเยา!L242"")"),2547436)</f>
        <v>2547436</v>
      </c>
      <c r="M347" s="357"/>
      <c r="N347" s="357">
        <f ca="1">IFERROR(__xludf.DUMMYFUNCTION("IMPORTRANGE(""https://docs.google.com/spreadsheets/d/11923uPwbBZFjjGgGUA6NLw09EwE0CqkOc4q9oUmW1yo/edit?usp=sharing"",""พะเยา!M242"")"),914731.789999999)</f>
        <v>914731.78999999899</v>
      </c>
      <c r="O347" s="357">
        <f ca="1">+IF(L347&gt;0,N347*100/L347,0)</f>
        <v>35.907939983575602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IFERROR(__xludf.DUMMYFUNCTION("IMPORTRANGE(""https://docs.google.com/spreadsheets/d/11923uPwbBZFjjGgGUA6NLw09EwE0CqkOc4q9oUmW1yo/edit?usp=sharing"",""พะเยา!M244"")"),128641.74)</f>
        <v>128641.74</v>
      </c>
      <c r="O349" s="372">
        <f ca="1">+IF(L349&gt;0,N349*100/L349,0)</f>
        <v>35.343079290070882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IFERROR(__xludf.DUMMYFUNCTION("IMPORTRANGE(""https://docs.google.com/spreadsheets/d/11923uPwbBZFjjGgGUA6NLw09EwE0CqkOc4q9oUmW1yo/edit?usp=sharing"",""พะเยา!M247"")"),128641.74)</f>
        <v>128641.74</v>
      </c>
      <c r="O352" s="165">
        <f t="shared" ca="1" si="105"/>
        <v>35.343079290070882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IFERROR(__xludf.DUMMYFUNCTION("IMPORTRANGE(""https://docs.google.com/spreadsheets/d/11923uPwbBZFjjGgGUA6NLw09EwE0CqkOc4q9oUmW1yo/edit?usp=sharing"",""พะเยา!M249"")"),128641.74)</f>
        <v>128641.74</v>
      </c>
      <c r="O354" s="168">
        <f t="shared" ca="1" si="105"/>
        <v>35.343079290070882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IFERROR(__xludf.DUMMYFUNCTION("IMPORTRANGE(""https://docs.google.com/spreadsheets/d/11923uPwbBZFjjGgGUA6NLw09EwE0CqkOc4q9oUmW1yo/edit?usp=sharing"",""พะเยา!M250"")"),38200)</f>
        <v>38200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IFERROR(__xludf.DUMMYFUNCTION("IMPORTRANGE(""https://docs.google.com/spreadsheets/d/11923uPwbBZFjjGgGUA6NLw09EwE0CqkOc4q9oUmW1yo/edit?usp=sharing"",""พะเยา!M252"")"),69132.74)</f>
        <v>69132.740000000005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IFERROR(__xludf.DUMMYFUNCTION("IMPORTRANGE(""https://docs.google.com/spreadsheets/d/11923uPwbBZFjjGgGUA6NLw09EwE0CqkOc4q9oUmW1yo/edit?usp=sharing"",""พะเยา!M253"")"),21309)</f>
        <v>21309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IFERROR(__xludf.DUMMYFUNCTION("IMPORTRANGE(""https://docs.google.com/spreadsheets/d/11923uPwbBZFjjGgGUA6NLw09EwE0CqkOc4q9oUmW1yo/edit?usp=sharing"",""พะเยา!M275"")"),217240.2)</f>
        <v>217240.2</v>
      </c>
      <c r="O380" s="372">
        <f ca="1">+IF(L380&gt;0,N380*100/L380,0)</f>
        <v>21.121631081554078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IFERROR(__xludf.DUMMYFUNCTION("IMPORTRANGE(""https://docs.google.com/spreadsheets/d/11923uPwbBZFjjGgGUA6NLw09EwE0CqkOc4q9oUmW1yo/edit?usp=sharing"",""พะเยา!M278"")"),217240.2)</f>
        <v>217240.2</v>
      </c>
      <c r="O383" s="165">
        <f t="shared" ca="1" si="109"/>
        <v>21.121631081554078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IFERROR(__xludf.DUMMYFUNCTION("IMPORTRANGE(""https://docs.google.com/spreadsheets/d/11923uPwbBZFjjGgGUA6NLw09EwE0CqkOc4q9oUmW1yo/edit?usp=sharing"",""พะเยา!M280"")"),217240.2)</f>
        <v>217240.2</v>
      </c>
      <c r="O385" s="168">
        <f t="shared" ca="1" si="109"/>
        <v>21.121631081554078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IFERROR(__xludf.DUMMYFUNCTION("IMPORTRANGE(""https://docs.google.com/spreadsheets/d/11923uPwbBZFjjGgGUA6NLw09EwE0CqkOc4q9oUmW1yo/edit?usp=sharing"",""พะเยา!M281"")"),126280.2)</f>
        <v>126280.2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IFERROR(__xludf.DUMMYFUNCTION("IMPORTRANGE(""https://docs.google.com/spreadsheets/d/11923uPwbBZFjjGgGUA6NLw09EwE0CqkOc4q9oUmW1yo/edit?usp=sharing"",""พะเยา!M283"")"),67804)</f>
        <v>67804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IFERROR(__xludf.DUMMYFUNCTION("IMPORTRANGE(""https://docs.google.com/spreadsheets/d/11923uPwbBZFjjGgGUA6NLw09EwE0CqkOc4q9oUmW1yo/edit?usp=sharing"",""พะเยา!M284"")"),23156)</f>
        <v>23156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IFERROR(__xludf.DUMMYFUNCTION("IMPORTRANGE(""https://docs.google.com/spreadsheets/d/11923uPwbBZFjjGgGUA6NLw09EwE0CqkOc4q9oUmW1yo/edit?usp=sharing"",""พะเยา!M296"")"),179119)</f>
        <v>179119</v>
      </c>
      <c r="O401" s="372">
        <f ca="1">+IF(L401&gt;0,N401*100/L401,0)</f>
        <v>65.871947631656369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IFERROR(__xludf.DUMMYFUNCTION("IMPORTRANGE(""https://docs.google.com/spreadsheets/d/11923uPwbBZFjjGgGUA6NLw09EwE0CqkOc4q9oUmW1yo/edit?usp=sharing"",""พะเยา!M299"")"),179119)</f>
        <v>179119</v>
      </c>
      <c r="O404" s="168">
        <f t="shared" ca="1" si="112"/>
        <v>65.871947631656369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IFERROR(__xludf.DUMMYFUNCTION("IMPORTRANGE(""https://docs.google.com/spreadsheets/d/11923uPwbBZFjjGgGUA6NLw09EwE0CqkOc4q9oUmW1yo/edit?usp=sharing"",""พะเยา!M301"")"),179119)</f>
        <v>179119</v>
      </c>
      <c r="O406" s="168">
        <f t="shared" ca="1" si="112"/>
        <v>65.871947631656369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IFERROR(__xludf.DUMMYFUNCTION("IMPORTRANGE(""https://docs.google.com/spreadsheets/d/11923uPwbBZFjjGgGUA6NLw09EwE0CqkOc4q9oUmW1yo/edit?usp=sharing"",""พะเยา!M302"")"),159539)</f>
        <v>159539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IFERROR(__xludf.DUMMYFUNCTION("IMPORTRANGE(""https://docs.google.com/spreadsheets/d/11923uPwbBZFjjGgGUA6NLw09EwE0CqkOc4q9oUmW1yo/edit?usp=sharing"",""พะเยา!M305"")"),19580)</f>
        <v>19580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IFERROR(__xludf.DUMMYFUNCTION("IMPORTRANGE(""https://docs.google.com/spreadsheets/d/11923uPwbBZFjjGgGUA6NLw09EwE0CqkOc4q9oUmW1yo/edit?usp=sharing"",""พะเยา!M330"")"),76896)</f>
        <v>76896</v>
      </c>
      <c r="O435" s="411">
        <f t="shared" ref="O435:O439" ca="1" si="114">+IF(L435&gt;0,N435*100/L435,0)</f>
        <v>51.264000000000003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IFERROR(__xludf.DUMMYFUNCTION("IMPORTRANGE(""https://docs.google.com/spreadsheets/d/11923uPwbBZFjjGgGUA6NLw09EwE0CqkOc4q9oUmW1yo/edit?usp=sharing"",""พะเยา!M332"")"),76896)</f>
        <v>76896</v>
      </c>
      <c r="O437" s="168">
        <f t="shared" ca="1" si="114"/>
        <v>51.264000000000003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IFERROR(__xludf.DUMMYFUNCTION("IMPORTRANGE(""https://docs.google.com/spreadsheets/d/11923uPwbBZFjjGgGUA6NLw09EwE0CqkOc4q9oUmW1yo/edit?usp=sharing"",""พะเยา!M334"")"),76896)</f>
        <v>76896</v>
      </c>
      <c r="O439" s="168">
        <f t="shared" ca="1" si="114"/>
        <v>51.264000000000003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IFERROR(__xludf.DUMMYFUNCTION("IMPORTRANGE(""https://docs.google.com/spreadsheets/d/11923uPwbBZFjjGgGUA6NLw09EwE0CqkOc4q9oUmW1yo/edit?usp=sharing"",""พะเยา!M338"")"),13938)</f>
        <v>13938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IFERROR(__xludf.DUMMYFUNCTION("IMPORTRANGE(""https://docs.google.com/spreadsheets/d/11923uPwbBZFjjGgGUA6NLw09EwE0CqkOc4q9oUmW1yo/edit?usp=sharing"",""พะเยา!L350"")"),403546)</f>
        <v>403546</v>
      </c>
      <c r="M455" s="372"/>
      <c r="N455" s="372">
        <f ca="1">IFERROR(__xludf.DUMMYFUNCTION("IMPORTRANGE(""https://docs.google.com/spreadsheets/d/11923uPwbBZFjjGgGUA6NLw09EwE0CqkOc4q9oUmW1yo/edit?usp=sharing"",""พะเยา!M350"")"),221403.85)</f>
        <v>221403.85</v>
      </c>
      <c r="O455" s="372">
        <f t="shared" ref="O455:O459" ca="1" si="116">+IF(L455&gt;0,N455*100/L455,0)</f>
        <v>54.864587928018118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IFERROR(__xludf.DUMMYFUNCTION("IMPORTRANGE(""https://docs.google.com/spreadsheets/d/11923uPwbBZFjjGgGUA6NLw09EwE0CqkOc4q9oUmW1yo/edit?usp=sharing"",""พะเยา!L352"")"),403546)</f>
        <v>403546</v>
      </c>
      <c r="M457" s="165"/>
      <c r="N457" s="168">
        <f ca="1">IFERROR(__xludf.DUMMYFUNCTION("IMPORTRANGE(""https://docs.google.com/spreadsheets/d/11923uPwbBZFjjGgGUA6NLw09EwE0CqkOc4q9oUmW1yo/edit?usp=sharing"",""พะเยา!M352"")"),221403.85)</f>
        <v>221403.85</v>
      </c>
      <c r="O457" s="168">
        <f t="shared" ca="1" si="116"/>
        <v>54.864587928018118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IFERROR(__xludf.DUMMYFUNCTION("IMPORTRANGE(""https://docs.google.com/spreadsheets/d/11923uPwbBZFjjGgGUA6NLw09EwE0CqkOc4q9oUmW1yo/edit?usp=sharing"",""พะเยา!L354"")"),403546)</f>
        <v>403546</v>
      </c>
      <c r="M459" s="168"/>
      <c r="N459" s="168">
        <f ca="1">IFERROR(__xludf.DUMMYFUNCTION("IMPORTRANGE(""https://docs.google.com/spreadsheets/d/11923uPwbBZFjjGgGUA6NLw09EwE0CqkOc4q9oUmW1yo/edit?usp=sharing"",""พะเยา!M354"")"),221403.85)</f>
        <v>221403.85</v>
      </c>
      <c r="O459" s="168">
        <f t="shared" ca="1" si="116"/>
        <v>54.864587928018118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IFERROR(__xludf.DUMMYFUNCTION("IMPORTRANGE(""https://docs.google.com/spreadsheets/d/11923uPwbBZFjjGgGUA6NLw09EwE0CqkOc4q9oUmW1yo/edit?usp=sharing"",""พะเยา!M357"")"),72619.35)</f>
        <v>72619.350000000006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IFERROR(__xludf.DUMMYFUNCTION("IMPORTRANGE(""https://docs.google.com/spreadsheets/d/11923uPwbBZFjjGgGUA6NLw09EwE0CqkOc4q9oUmW1yo/edit?usp=sharing"",""พะเยา!M358"")"),148784.5)</f>
        <v>148784.5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IFERROR(__xludf.DUMMYFUNCTION("IMPORTRANGE(""https://docs.google.com/spreadsheets/d/11923uPwbBZFjjGgGUA6NLw09EwE0CqkOc4q9oUmW1yo/edit?usp=sharing"",""พะเยา!J459"")"),2582)</f>
        <v>2582</v>
      </c>
      <c r="K564" s="371">
        <f ca="1">IF(I564&gt;0,J564*100/I564,0)</f>
        <v>132.41025641025641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IFERROR(__xludf.DUMMYFUNCTION("IMPORTRANGE(""https://docs.google.com/spreadsheets/d/11923uPwbBZFjjGgGUA6NLw09EwE0CqkOc4q9oUmW1yo/edit?usp=sharing"",""พะเยา!M459"")"),70671)</f>
        <v>70671</v>
      </c>
      <c r="O564" s="372">
        <f t="shared" ref="O564:O568" ca="1" si="122">+IF(L564&gt;0,N564*100/L564,0)</f>
        <v>49.684336332958381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IFERROR(__xludf.DUMMYFUNCTION("IMPORTRANGE(""https://docs.google.com/spreadsheets/d/11923uPwbBZFjjGgGUA6NLw09EwE0CqkOc4q9oUmW1yo/edit?usp=sharing"",""พะเยา!M461"")"),70671)</f>
        <v>70671</v>
      </c>
      <c r="O566" s="168">
        <f t="shared" ca="1" si="122"/>
        <v>49.684336332958381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IFERROR(__xludf.DUMMYFUNCTION("IMPORTRANGE(""https://docs.google.com/spreadsheets/d/11923uPwbBZFjjGgGUA6NLw09EwE0CqkOc4q9oUmW1yo/edit?usp=sharing"",""พะเยา!M463"")"),70671)</f>
        <v>70671</v>
      </c>
      <c r="O568" s="168">
        <f t="shared" ca="1" si="122"/>
        <v>49.684336332958381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IFERROR(__xludf.DUMMYFUNCTION("IMPORTRANGE(""https://docs.google.com/spreadsheets/d/11923uPwbBZFjjGgGUA6NLw09EwE0CqkOc4q9oUmW1yo/edit?usp=sharing"",""พะเยา!M466"")"),42899)</f>
        <v>42899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IFERROR(__xludf.DUMMYFUNCTION("IMPORTRANGE(""https://docs.google.com/spreadsheets/d/11923uPwbBZFjjGgGUA6NLw09EwE0CqkOc4q9oUmW1yo/edit?usp=sharing"",""พะเยา!M467"")"),27772)</f>
        <v>27772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IFERROR(__xludf.DUMMYFUNCTION("IMPORTRANGE(""https://docs.google.com/spreadsheets/d/11923uPwbBZFjjGgGUA6NLw09EwE0CqkOc4q9oUmW1yo/edit?usp=sharing"",""พะเยา!J468"")"),2582)</f>
        <v>2582</v>
      </c>
      <c r="K573" s="201">
        <f ca="1">IF(I573&gt;0,J573*100/I573,0)</f>
        <v>132.41025641025641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IFERROR(__xludf.DUMMYFUNCTION("IMPORTRANGE(""https://docs.google.com/spreadsheets/d/11923uPwbBZFjjGgGUA6NLw09EwE0CqkOc4q9oUmW1yo/edit?usp=sharing"",""พะเยา!J471"")"),263)</f>
        <v>263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IFERROR(__xludf.DUMMYFUNCTION("IMPORTRANGE(""https://docs.google.com/spreadsheets/d/11923uPwbBZFjjGgGUA6NLw09EwE0CqkOc4q9oUmW1yo/edit?usp=sharing"",""พะเยา!J472"")"),2319)</f>
        <v>2319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IFERROR(__xludf.DUMMYFUNCTION("IMPORTRANGE(""https://docs.google.com/spreadsheets/d/11923uPwbBZFjjGgGUA6NLw09EwE0CqkOc4q9oUmW1yo/edit?usp=sharing"",""พะเยา!J475"")"),15)</f>
        <v>15</v>
      </c>
      <c r="K580" s="371">
        <f ca="1">IF(I580&gt;0,J580*100/I580,0)</f>
        <v>37.5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IFERROR(__xludf.DUMMYFUNCTION("IMPORTRANGE(""https://docs.google.com/spreadsheets/d/11923uPwbBZFjjGgGUA6NLw09EwE0CqkOc4q9oUmW1yo/edit?usp=sharing"",""พะเยา!M483"")"),0)</f>
        <v>0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IFERROR(__xludf.DUMMYFUNCTION("IMPORTRANGE(""https://docs.google.com/spreadsheets/d/11923uPwbBZFjjGgGUA6NLw09EwE0CqkOc4q9oUmW1yo/edit?usp=sharing"",""พะเยา!J484"")"),4)</f>
        <v>4</v>
      </c>
      <c r="K589" s="163">
        <f t="shared" ref="K589:K596" ca="1" si="125">IF(I589&gt;0,J589*100/I589,0)</f>
        <v>10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IFERROR(__xludf.DUMMYFUNCTION("IMPORTRANGE(""https://docs.google.com/spreadsheets/d/11923uPwbBZFjjGgGUA6NLw09EwE0CqkOc4q9oUmW1yo/edit?usp=sharing"",""พะเยา!J485"")"),1.15)</f>
        <v>1.1499999999999999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IFERROR(__xludf.DUMMYFUNCTION("IMPORTRANGE(""https://docs.google.com/spreadsheets/d/11923uPwbBZFjjGgGUA6NLw09EwE0CqkOc4q9oUmW1yo/edit?usp=sharing"",""พะเยา!J486"")"),13)</f>
        <v>13</v>
      </c>
      <c r="K591" s="163">
        <f t="shared" ca="1" si="125"/>
        <v>32.5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IFERROR(__xludf.DUMMYFUNCTION("IMPORTRANGE(""https://docs.google.com/spreadsheets/d/11923uPwbBZFjjGgGUA6NLw09EwE0CqkOc4q9oUmW1yo/edit?usp=sharing"",""พะเยา!J487"")"),6.06)</f>
        <v>6.06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IFERROR(__xludf.DUMMYFUNCTION("IMPORTRANGE(""https://docs.google.com/spreadsheets/d/11923uPwbBZFjjGgGUA6NLw09EwE0CqkOc4q9oUmW1yo/edit?usp=sharing"",""พะเยา!J490"")"),15)</f>
        <v>15</v>
      </c>
      <c r="K595" s="163">
        <f t="shared" ca="1" si="125"/>
        <v>37.5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IFERROR(__xludf.DUMMYFUNCTION("IMPORTRANGE(""https://docs.google.com/spreadsheets/d/11923uPwbBZFjjGgGUA6NLw09EwE0CqkOc4q9oUmW1yo/edit?usp=sharing"",""พะเยา!J491"")"),6.65)</f>
        <v>6.65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7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IFERROR(__xludf.DUMMYFUNCTION("IMPORTRANGE(""https://docs.google.com/spreadsheets/d/11923uPwbBZFjjGgGUA6NLw09EwE0CqkOc4q9oUmW1yo/edit?usp=sharing"",""พะเยา!J523"")"),3195141.15)</f>
        <v>3195141.15</v>
      </c>
      <c r="K628" s="342">
        <f t="shared" ref="K628:K635" ca="1" si="129">IF(I628&gt;0,J628*100/I628,0)</f>
        <v>66.570133958131834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IFERROR(__xludf.DUMMYFUNCTION("IMPORTRANGE(""https://docs.google.com/spreadsheets/d/11923uPwbBZFjjGgGUA6NLw09EwE0CqkOc4q9oUmW1yo/edit?usp=sharing"",""พะเยา!J524"")"),310)</f>
        <v>310</v>
      </c>
      <c r="K629" s="342">
        <f t="shared" ca="1" si="129"/>
        <v>68.281938325991192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IFERROR(__xludf.DUMMYFUNCTION("IMPORTRANGE(""https://docs.google.com/spreadsheets/d/11923uPwbBZFjjGgGUA6NLw09EwE0CqkOc4q9oUmW1yo/edit?usp=sharing"",""พะเยา!J525"")"),553777.52)</f>
        <v>553777.52</v>
      </c>
      <c r="K630" s="342">
        <f t="shared" ca="1" si="129"/>
        <v>5.5822521343981979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IFERROR(__xludf.DUMMYFUNCTION("IMPORTRANGE(""https://docs.google.com/spreadsheets/d/11923uPwbBZFjjGgGUA6NLw09EwE0CqkOc4q9oUmW1yo/edit?usp=sharing"",""พะเยา!J526"")"),95)</f>
        <v>95</v>
      </c>
      <c r="K631" s="342">
        <f t="shared" ca="1" si="129"/>
        <v>28.6144578313253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IFERROR(__xludf.DUMMYFUNCTION("IMPORTRANGE(""https://docs.google.com/spreadsheets/d/11923uPwbBZFjjGgGUA6NLw09EwE0CqkOc4q9oUmW1yo/edit?usp=sharing"",""พะเยา!J527"")"),2100)</f>
        <v>2100</v>
      </c>
      <c r="K632" s="342">
        <f t="shared" ca="1" si="129"/>
        <v>3.3969781452984606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IFERROR(__xludf.DUMMYFUNCTION("IMPORTRANGE(""https://docs.google.com/spreadsheets/d/11923uPwbBZFjjGgGUA6NLw09EwE0CqkOc4q9oUmW1yo/edit?usp=sharing"",""พะเยา!J528"")"),2)</f>
        <v>2</v>
      </c>
      <c r="K633" s="342">
        <f t="shared" ca="1" si="129"/>
        <v>1.8691588785046729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IFERROR(__xludf.DUMMYFUNCTION("IMPORTRANGE(""https://docs.google.com/spreadsheets/d/11923uPwbBZFjjGgGUA6NLw09EwE0CqkOc4q9oUmW1yo/edit?usp=sharing"",""พะเยา!J529"")"),3630000)</f>
        <v>3630000</v>
      </c>
      <c r="K634" s="342">
        <f t="shared" ca="1" si="129"/>
        <v>60.5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IFERROR(__xludf.DUMMYFUNCTION("IMPORTRANGE(""https://docs.google.com/spreadsheets/d/11923uPwbBZFjjGgGUA6NLw09EwE0CqkOc4q9oUmW1yo/edit?usp=sharing"",""พะเยา!I530"")"),120)</f>
        <v>120</v>
      </c>
      <c r="J635" s="504">
        <f ca="1">IFERROR(__xludf.DUMMYFUNCTION("IMPORTRANGE(""https://docs.google.com/spreadsheets/d/11923uPwbBZFjjGgGUA6NLw09EwE0CqkOc4q9oUmW1yo/edit?usp=sharing"",""พะเยา!J530"")"),75)</f>
        <v>75</v>
      </c>
      <c r="K635" s="486">
        <f t="shared" ca="1" si="129"/>
        <v>62.5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IFERROR(__xludf.DUMMYFUNCTION("IMPORTRANGE(""https://docs.google.com/spreadsheets/d/11923uPwbBZFjjGgGUA6NLw09EwE0CqkOc4q9oUmW1yo/edit?usp=sharing"",""พะเยา!J541"")"),0)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IFERROR(__xludf.DUMMYFUNCTION("IMPORTRANGE(""https://docs.google.com/spreadsheets/d/11923uPwbBZFjjGgGUA6NLw09EwE0CqkOc4q9oUmW1yo/edit?usp=sharing"",""พะเยา!J542"")"),0)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IFERROR(__xludf.DUMMYFUNCTION("IMPORTRANGE(""https://docs.google.com/spreadsheets/d/11923uPwbBZFjjGgGUA6NLw09EwE0CqkOc4q9oUmW1yo/edit?usp=sharing"",""พะเยา!I543"")"),0)</f>
        <v>0</v>
      </c>
      <c r="J648" s="535">
        <f ca="1">IFERROR(__xludf.DUMMYFUNCTION("IMPORTRANGE(""https://docs.google.com/spreadsheets/d/11923uPwbBZFjjGgGUA6NLw09EwE0CqkOc4q9oUmW1yo/edit?usp=sharing"",""พะเยา!J543"")"),0)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IFERROR(__xludf.DUMMYFUNCTION("IMPORTRANGE(""https://docs.google.com/spreadsheets/d/11923uPwbBZFjjGgGUA6NLw09EwE0CqkOc4q9oUmW1yo/edit?usp=sharing"",""พะเยา!L543"")"),0)</f>
        <v>0</v>
      </c>
      <c r="M648" s="520"/>
      <c r="N648" s="537">
        <f ca="1">IFERROR(__xludf.DUMMYFUNCTION("IMPORTRANGE(""https://docs.google.com/spreadsheets/d/11923uPwbBZFjjGgGUA6NLw09EwE0CqkOc4q9oUmW1yo/edit?usp=sharing"",""พะเยา!M543"")"),0)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IFERROR(__xludf.DUMMYFUNCTION("IMPORTRANGE(""https://docs.google.com/spreadsheets/d/11923uPwbBZFjjGgGUA6NLw09EwE0CqkOc4q9oUmW1yo/edit?usp=sharing"",""พะเยา!I544"")"),0)</f>
        <v>0</v>
      </c>
      <c r="J649" s="535">
        <f ca="1">IFERROR(__xludf.DUMMYFUNCTION("IMPORTRANGE(""https://docs.google.com/spreadsheets/d/11923uPwbBZFjjGgGUA6NLw09EwE0CqkOc4q9oUmW1yo/edit?usp=sharing"",""พะเยา!J544"")"),0)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IFERROR(__xludf.DUMMYFUNCTION("IMPORTRANGE(""https://docs.google.com/spreadsheets/d/11923uPwbBZFjjGgGUA6NLw09EwE0CqkOc4q9oUmW1yo/edit?usp=sharing"",""พะเยา!L544"")"),0)</f>
        <v>0</v>
      </c>
      <c r="M649" s="520"/>
      <c r="N649" s="537">
        <f ca="1">IFERROR(__xludf.DUMMYFUNCTION("IMPORTRANGE(""https://docs.google.com/spreadsheets/d/11923uPwbBZFjjGgGUA6NLw09EwE0CqkOc4q9oUmW1yo/edit?usp=sharing"",""พะเยา!M544"")"),0)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IFERROR(__xludf.DUMMYFUNCTION("IMPORTRANGE(""https://docs.google.com/spreadsheets/d/11923uPwbBZFjjGgGUA6NLw09EwE0CqkOc4q9oUmW1yo/edit?usp=sharing"",""พะเยา!I545"")"),0)</f>
        <v>0</v>
      </c>
      <c r="J650" s="535">
        <f ca="1">IFERROR(__xludf.DUMMYFUNCTION("IMPORTRANGE(""https://docs.google.com/spreadsheets/d/11923uPwbBZFjjGgGUA6NLw09EwE0CqkOc4q9oUmW1yo/edit?usp=sharing"",""พะเยา!J545"")"),0)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IFERROR(__xludf.DUMMYFUNCTION("IMPORTRANGE(""https://docs.google.com/spreadsheets/d/11923uPwbBZFjjGgGUA6NLw09EwE0CqkOc4q9oUmW1yo/edit?usp=sharing"",""พะเยา!L545"")"),0)</f>
        <v>0</v>
      </c>
      <c r="M650" s="520"/>
      <c r="N650" s="537">
        <f ca="1">IFERROR(__xludf.DUMMYFUNCTION("IMPORTRANGE(""https://docs.google.com/spreadsheets/d/11923uPwbBZFjjGgGUA6NLw09EwE0CqkOc4q9oUmW1yo/edit?usp=sharing"",""พะเยา!M545"")"),0)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IFERROR(__xludf.DUMMYFUNCTION("IMPORTRANGE(""https://docs.google.com/spreadsheets/d/11923uPwbBZFjjGgGUA6NLw09EwE0CqkOc4q9oUmW1yo/edit?usp=sharing"",""พะเยา!I546"")"),0)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IFERROR(__xludf.DUMMYFUNCTION("IMPORTRANGE(""https://docs.google.com/spreadsheets/d/11923uPwbBZFjjGgGUA6NLw09EwE0CqkOc4q9oUmW1yo/edit?usp=sharing"",""พะเยา!L546"")"),0)</f>
        <v>0</v>
      </c>
      <c r="M651" s="520"/>
      <c r="N651" s="537">
        <f ca="1">IFERROR(__xludf.DUMMYFUNCTION("IMPORTRANGE(""https://docs.google.com/spreadsheets/d/11923uPwbBZFjjGgGUA6NLw09EwE0CqkOc4q9oUmW1yo/edit?usp=sharing"",""พะเยา!M546"")"),0)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IFERROR(__xludf.DUMMYFUNCTION("IMPORTRANGE(""https://docs.google.com/spreadsheets/d/11923uPwbBZFjjGgGUA6NLw09EwE0CqkOc4q9oUmW1yo/edit?usp=sharing"",""พะเยา!J547"")"),0)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IFERROR(__xludf.DUMMYFUNCTION("IMPORTRANGE(""https://docs.google.com/spreadsheets/d/11923uPwbBZFjjGgGUA6NLw09EwE0CqkOc4q9oUmW1yo/edit?usp=sharing"",""พะเยา!J548"")"),0)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IFERROR(__xludf.DUMMYFUNCTION("IMPORTRANGE(""https://docs.google.com/spreadsheets/d/11923uPwbBZFjjGgGUA6NLw09EwE0CqkOc4q9oUmW1yo/edit?usp=sharing"",""พะเยา!J550"")"),0)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IFERROR(__xludf.DUMMYFUNCTION("IMPORTRANGE(""https://docs.google.com/spreadsheets/d/11923uPwbBZFjjGgGUA6NLw09EwE0CqkOc4q9oUmW1yo/edit?usp=sharing"",""พะเยา!J551"")"),0)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IFERROR(__xludf.DUMMYFUNCTION("IMPORTRANGE(""https://docs.google.com/spreadsheets/d/11923uPwbBZFjjGgGUA6NLw09EwE0CqkOc4q9oUmW1yo/edit?usp=sharing"",""พะเยา!J552"")"),0)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IFERROR(__xludf.DUMMYFUNCTION("IMPORTRANGE(""https://docs.google.com/spreadsheets/d/11923uPwbBZFjjGgGUA6NLw09EwE0CqkOc4q9oUmW1yo/edit?usp=sharing"",""พะเยา!J553"")"),0)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IFERROR(__xludf.DUMMYFUNCTION("IMPORTRANGE(""https://docs.google.com/spreadsheets/d/11923uPwbBZFjjGgGUA6NLw09EwE0CqkOc4q9oUmW1yo/edit?usp=sharing"",""พะเยา!J554"")"),0)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IFERROR(__xludf.DUMMYFUNCTION("IMPORTRANGE(""https://docs.google.com/spreadsheets/d/11923uPwbBZFjjGgGUA6NLw09EwE0CqkOc4q9oUmW1yo/edit?usp=sharing"",""พะเยา!J555"")"),0)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IFERROR(__xludf.DUMMYFUNCTION("IMPORTRANGE(""https://docs.google.com/spreadsheets/d/11923uPwbBZFjjGgGUA6NLw09EwE0CqkOc4q9oUmW1yo/edit?usp=sharing"",""พะเยา!J556"")"),0)</f>
        <v>0</v>
      </c>
      <c r="K661" s="536"/>
      <c r="L661" s="521">
        <f ca="1">IFERROR(__xludf.DUMMYFUNCTION("IMPORTRANGE(""https://docs.google.com/spreadsheets/d/11923uPwbBZFjjGgGUA6NLw09EwE0CqkOc4q9oUmW1yo/edit?usp=sharing"",""พะเยา!L556"")"),0)</f>
        <v>0</v>
      </c>
      <c r="M661" s="520"/>
      <c r="N661" s="537">
        <f ca="1">IFERROR(__xludf.DUMMYFUNCTION("IMPORTRANGE(""https://docs.google.com/spreadsheets/d/11923uPwbBZFjjGgGUA6NLw09EwE0CqkOc4q9oUmW1yo/edit?usp=sharing"",""พะเยา!M556"")"),0)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IFERROR(__xludf.DUMMYFUNCTION("IMPORTRANGE(""https://docs.google.com/spreadsheets/d/11923uPwbBZFjjGgGUA6NLw09EwE0CqkOc4q9oUmW1yo/edit?usp=sharing"",""พะเยา!J557"")"),0)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IFERROR(__xludf.DUMMYFUNCTION("IMPORTRANGE(""https://docs.google.com/spreadsheets/d/11923uPwbBZFjjGgGUA6NLw09EwE0CqkOc4q9oUmW1yo/edit?usp=sharing"",""พะเยา!I558"")"),0)</f>
        <v>0</v>
      </c>
      <c r="J663" s="535">
        <f ca="1">IFERROR(__xludf.DUMMYFUNCTION("IMPORTRANGE(""https://docs.google.com/spreadsheets/d/11923uPwbBZFjjGgGUA6NLw09EwE0CqkOc4q9oUmW1yo/edit?usp=sharing"",""พะเยา!J558"")"),0)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IFERROR(__xludf.DUMMYFUNCTION("IMPORTRANGE(""https://docs.google.com/spreadsheets/d/11923uPwbBZFjjGgGUA6NLw09EwE0CqkOc4q9oUmW1yo/edit?usp=sharing"",""พะเยา!I560"")"),0)</f>
        <v>0</v>
      </c>
      <c r="J665" s="535">
        <f ca="1">IFERROR(__xludf.DUMMYFUNCTION("IMPORTRANGE(""https://docs.google.com/spreadsheets/d/11923uPwbBZFjjGgGUA6NLw09EwE0CqkOc4q9oUmW1yo/edit?usp=sharing"",""พะเยา!J560"")"),0)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IFERROR(__xludf.DUMMYFUNCTION("IMPORTRANGE(""https://docs.google.com/spreadsheets/d/11923uPwbBZFjjGgGUA6NLw09EwE0CqkOc4q9oUmW1yo/edit?usp=sharing"",""พะเยา!L560"")"),0)</f>
        <v>0</v>
      </c>
      <c r="M665" s="520"/>
      <c r="N665" s="537">
        <f ca="1">IFERROR(__xludf.DUMMYFUNCTION("IMPORTRANGE(""https://docs.google.com/spreadsheets/d/11923uPwbBZFjjGgGUA6NLw09EwE0CqkOc4q9oUmW1yo/edit?usp=sharing"",""พะเยา!M560"")"),0)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IFERROR(__xludf.DUMMYFUNCTION("IMPORTRANGE(""https://docs.google.com/spreadsheets/d/11923uPwbBZFjjGgGUA6NLw09EwE0CqkOc4q9oUmW1yo/edit?usp=sharing"",""พะเยา!J561"")"),0)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IFERROR(__xludf.DUMMYFUNCTION("IMPORTRANGE(""https://docs.google.com/spreadsheets/d/11923uPwbBZFjjGgGUA6NLw09EwE0CqkOc4q9oUmW1yo/edit?usp=sharing"",""พะเยา!J562"")"),0)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IFERROR(__xludf.DUMMYFUNCTION("IMPORTRANGE(""https://docs.google.com/spreadsheets/d/11923uPwbBZFjjGgGUA6NLw09EwE0CqkOc4q9oUmW1yo/edit?usp=sharing"",""พะเยา!I563"")"),0)</f>
        <v>0</v>
      </c>
      <c r="J668" s="535">
        <f ca="1">IFERROR(__xludf.DUMMYFUNCTION("IMPORTRANGE(""https://docs.google.com/spreadsheets/d/11923uPwbBZFjjGgGUA6NLw09EwE0CqkOc4q9oUmW1yo/edit?usp=sharing"",""พะเยา!J563"")"),0)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IFERROR(__xludf.DUMMYFUNCTION("IMPORTRANGE(""https://docs.google.com/spreadsheets/d/11923uPwbBZFjjGgGUA6NLw09EwE0CqkOc4q9oUmW1yo/edit?usp=sharing"",""พะเยา!L563"")"),0)</f>
        <v>0</v>
      </c>
      <c r="M668" s="520"/>
      <c r="N668" s="537">
        <f ca="1">IFERROR(__xludf.DUMMYFUNCTION("IMPORTRANGE(""https://docs.google.com/spreadsheets/d/11923uPwbBZFjjGgGUA6NLw09EwE0CqkOc4q9oUmW1yo/edit?usp=sharing"",""พะเยา!M563"")"),0)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IFERROR(__xludf.DUMMYFUNCTION("IMPORTRANGE(""https://docs.google.com/spreadsheets/d/11923uPwbBZFjjGgGUA6NLw09EwE0CqkOc4q9oUmW1yo/edit?usp=sharing"",""พะเยา!J564"")"),0)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IFERROR(__xludf.DUMMYFUNCTION("IMPORTRANGE(""https://docs.google.com/spreadsheets/d/11923uPwbBZFjjGgGUA6NLw09EwE0CqkOc4q9oUmW1yo/edit?usp=sharing"",""พะเยา!J565"")"),0)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IFERROR(__xludf.DUMMYFUNCTION("IMPORTRANGE(""https://docs.google.com/spreadsheets/d/11923uPwbBZFjjGgGUA6NLw09EwE0CqkOc4q9oUmW1yo/edit?usp=sharing"",""พะเยา!I566"")"),0)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IFERROR(__xludf.DUMMYFUNCTION("IMPORTRANGE(""https://docs.google.com/spreadsheets/d/11923uPwbBZFjjGgGUA6NLw09EwE0CqkOc4q9oUmW1yo/edit?usp=sharing"",""พะเยา!L566"")"),0)</f>
        <v>0</v>
      </c>
      <c r="M671" s="520"/>
      <c r="N671" s="537">
        <f ca="1">IFERROR(__xludf.DUMMYFUNCTION("IMPORTRANGE(""https://docs.google.com/spreadsheets/d/11923uPwbBZFjjGgGUA6NLw09EwE0CqkOc4q9oUmW1yo/edit?usp=sharing"",""พะเยา!M566"")"),0)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IFERROR(__xludf.DUMMYFUNCTION("IMPORTRANGE(""https://docs.google.com/spreadsheets/d/11923uPwbBZFjjGgGUA6NLw09EwE0CqkOc4q9oUmW1yo/edit?usp=sharing"",""พะเยา!J567"")"),0)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IFERROR(__xludf.DUMMYFUNCTION("IMPORTRANGE(""https://docs.google.com/spreadsheets/d/11923uPwbBZFjjGgGUA6NLw09EwE0CqkOc4q9oUmW1yo/edit?usp=sharing"",""พะเยา!J568"")"),0)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IFERROR(__xludf.DUMMYFUNCTION("IMPORTRANGE(""https://docs.google.com/spreadsheets/d/11923uPwbBZFjjGgGUA6NLw09EwE0CqkOc4q9oUmW1yo/edit?usp=sharing"",""พะเยา!J569"")"),0)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IFERROR(__xludf.DUMMYFUNCTION("IMPORTRANGE(""https://docs.google.com/spreadsheets/d/11923uPwbBZFjjGgGUA6NLw09EwE0CqkOc4q9oUmW1yo/edit?usp=sharing"",""พะเยา!J570"")"),0)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IFERROR(__xludf.DUMMYFUNCTION("IMPORTRANGE(""https://docs.google.com/spreadsheets/d/11923uPwbBZFjjGgGUA6NLw09EwE0CqkOc4q9oUmW1yo/edit?usp=sharing"",""พะเยา!J571"")"),0)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IFERROR(__xludf.DUMMYFUNCTION("IMPORTRANGE(""https://docs.google.com/spreadsheets/d/11923uPwbBZFjjGgGUA6NLw09EwE0CqkOc4q9oUmW1yo/edit?usp=sharing"",""พะเยา!J572"")"),0)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25" sqref="G25"/>
      <selection pane="bottomLeft" activeCell="G25" sqref="G25"/>
    </sheetView>
  </sheetViews>
  <sheetFormatPr defaultColWidth="14.44140625" defaultRowHeight="15" customHeight="1" x14ac:dyDescent="0.3"/>
  <cols>
    <col min="1" max="3" width="3.21875" customWidth="1"/>
    <col min="4" max="6" width="5.77734375" customWidth="1"/>
    <col min="7" max="7" width="81" customWidth="1"/>
    <col min="8" max="8" width="10.77734375" customWidth="1"/>
    <col min="9" max="10" width="15.77734375" customWidth="1"/>
    <col min="11" max="11" width="10.21875" customWidth="1"/>
    <col min="12" max="14" width="17.77734375" bestFit="1" customWidth="1"/>
    <col min="15" max="15" width="18.77734375" bestFit="1" customWidth="1"/>
    <col min="16" max="16" width="20.33203125" bestFit="1" customWidth="1"/>
  </cols>
  <sheetData>
    <row r="1" spans="1:16" ht="18" customHeight="1" x14ac:dyDescent="0.3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3">
      <c r="A2" s="562" t="s">
        <v>274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3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3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4710612</v>
      </c>
      <c r="M8" s="23">
        <f t="shared" ca="1" si="0"/>
        <v>2105350</v>
      </c>
      <c r="N8" s="23">
        <f t="shared" ca="1" si="0"/>
        <v>2447231.16</v>
      </c>
      <c r="O8" s="22">
        <f t="shared" ref="O8:O16" ca="1" si="1">IF(L8&gt;0,N8*100/L8,0)</f>
        <v>51.951448346839008</v>
      </c>
      <c r="P8" s="22">
        <f t="shared" ref="P8:P16" ca="1" si="2">IF(M8&gt;0,N8*100/M8,0)</f>
        <v>116.23868525423326</v>
      </c>
    </row>
    <row r="9" spans="1:16" ht="21.75" customHeight="1" x14ac:dyDescent="0.4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4710612</v>
      </c>
      <c r="M10" s="30">
        <f t="shared" ca="1" si="4"/>
        <v>2105350</v>
      </c>
      <c r="N10" s="30">
        <f t="shared" ca="1" si="4"/>
        <v>2447231.16</v>
      </c>
      <c r="O10" s="29">
        <f t="shared" ca="1" si="1"/>
        <v>51.951448346839008</v>
      </c>
      <c r="P10" s="29">
        <f t="shared" ca="1" si="2"/>
        <v>116.23868525423326</v>
      </c>
    </row>
    <row r="11" spans="1:16" ht="21.75" customHeight="1" x14ac:dyDescent="0.4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4635012</v>
      </c>
      <c r="M12" s="39">
        <f t="shared" ca="1" si="6"/>
        <v>2029750</v>
      </c>
      <c r="N12" s="39">
        <f t="shared" ca="1" si="6"/>
        <v>2371631.16</v>
      </c>
      <c r="O12" s="39">
        <f t="shared" ca="1" si="1"/>
        <v>51.167745844023706</v>
      </c>
      <c r="P12" s="39">
        <f t="shared" ca="1" si="2"/>
        <v>116.84351077718931</v>
      </c>
    </row>
    <row r="13" spans="1:16" ht="21.75" customHeight="1" x14ac:dyDescent="0.4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2510312</v>
      </c>
      <c r="M14" s="39">
        <f t="shared" si="8"/>
        <v>0</v>
      </c>
      <c r="N14" s="39">
        <f t="shared" ca="1" si="8"/>
        <v>791511.30999999994</v>
      </c>
      <c r="O14" s="39">
        <f t="shared" ca="1" si="1"/>
        <v>31.530395823308019</v>
      </c>
      <c r="P14" s="39">
        <f t="shared" si="2"/>
        <v>0</v>
      </c>
    </row>
    <row r="15" spans="1:16" ht="21.75" customHeight="1" x14ac:dyDescent="0.4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2692065</v>
      </c>
      <c r="M18" s="23">
        <f t="shared" ca="1" si="11"/>
        <v>2105350</v>
      </c>
      <c r="N18" s="23">
        <f t="shared" ca="1" si="11"/>
        <v>1655719.85</v>
      </c>
      <c r="O18" s="22">
        <f t="shared" ref="O18:O20" ca="1" si="12">IF(L18&gt;0,N18*100/L18,0)</f>
        <v>61.503709977285098</v>
      </c>
      <c r="P18" s="22">
        <f t="shared" ref="P18:P26" ca="1" si="13">IF(M18&gt;0,N18*100/M18,0)</f>
        <v>78.643448832735643</v>
      </c>
    </row>
    <row r="19" spans="1:16" ht="21.75" customHeight="1" x14ac:dyDescent="0.4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2692065</v>
      </c>
      <c r="M20" s="30">
        <f t="shared" ca="1" si="15"/>
        <v>2105350</v>
      </c>
      <c r="N20" s="30">
        <f t="shared" ca="1" si="15"/>
        <v>1655719.85</v>
      </c>
      <c r="O20" s="29">
        <f t="shared" ca="1" si="12"/>
        <v>61.503709977285098</v>
      </c>
      <c r="P20" s="29">
        <f t="shared" ca="1" si="13"/>
        <v>78.643448832735643</v>
      </c>
    </row>
    <row r="21" spans="1:16" ht="21.75" customHeight="1" x14ac:dyDescent="0.4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2616465</v>
      </c>
      <c r="M22" s="42">
        <f t="shared" ca="1" si="18"/>
        <v>2029750</v>
      </c>
      <c r="N22" s="39">
        <f t="shared" ca="1" si="18"/>
        <v>1580119.85</v>
      </c>
      <c r="O22" s="39">
        <f t="shared" ca="1" si="17"/>
        <v>60.391400228934842</v>
      </c>
      <c r="P22" s="39">
        <f t="shared" ca="1" si="13"/>
        <v>77.848003448700581</v>
      </c>
    </row>
    <row r="23" spans="1:16" ht="21.75" customHeight="1" x14ac:dyDescent="0.4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491765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2018547</v>
      </c>
      <c r="M28" s="23">
        <f t="shared" si="23"/>
        <v>0</v>
      </c>
      <c r="N28" s="23">
        <f t="shared" ca="1" si="23"/>
        <v>791511.30999999994</v>
      </c>
      <c r="O28" s="22">
        <f t="shared" ref="O28:O30" ca="1" si="24">IF(L28&gt;0,N28*100/L28,0)</f>
        <v>39.211933633450201</v>
      </c>
      <c r="P28" s="22">
        <f t="shared" ref="P28:P37" si="25">IF(M28&gt;0,N28*100/M28,0)</f>
        <v>0</v>
      </c>
    </row>
    <row r="29" spans="1:16" ht="21.75" customHeight="1" x14ac:dyDescent="0.4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2018547</v>
      </c>
      <c r="M30" s="30">
        <f t="shared" si="27"/>
        <v>0</v>
      </c>
      <c r="N30" s="30">
        <f t="shared" ca="1" si="27"/>
        <v>791511.30999999994</v>
      </c>
      <c r="O30" s="29">
        <f t="shared" ca="1" si="24"/>
        <v>39.211933633450201</v>
      </c>
      <c r="P30" s="29">
        <f t="shared" si="25"/>
        <v>0</v>
      </c>
    </row>
    <row r="31" spans="1:16" ht="21.75" customHeight="1" x14ac:dyDescent="0.4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2018547</v>
      </c>
      <c r="M32" s="39">
        <f t="shared" si="30"/>
        <v>0</v>
      </c>
      <c r="N32" s="39">
        <f t="shared" ca="1" si="30"/>
        <v>791511.30999999994</v>
      </c>
      <c r="O32" s="39">
        <f t="shared" ca="1" si="29"/>
        <v>39.211933633450201</v>
      </c>
      <c r="P32" s="39">
        <f t="shared" si="25"/>
        <v>0</v>
      </c>
    </row>
    <row r="33" spans="1:16" ht="21.75" customHeight="1" x14ac:dyDescent="0.4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2018547</v>
      </c>
      <c r="M34" s="39">
        <f t="shared" si="32"/>
        <v>0</v>
      </c>
      <c r="N34" s="39">
        <f t="shared" ca="1" si="32"/>
        <v>791511.30999999994</v>
      </c>
      <c r="O34" s="39">
        <f t="shared" ca="1" si="29"/>
        <v>39.211933633450201</v>
      </c>
      <c r="P34" s="39">
        <f t="shared" si="25"/>
        <v>0</v>
      </c>
    </row>
    <row r="35" spans="1:16" ht="21.75" customHeight="1" x14ac:dyDescent="0.4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2692065</v>
      </c>
      <c r="M37" s="55">
        <f t="shared" ca="1" si="33"/>
        <v>2105350</v>
      </c>
      <c r="N37" s="55">
        <f t="shared" ca="1" si="33"/>
        <v>1655719.85</v>
      </c>
      <c r="O37" s="56">
        <f t="shared" ca="1" si="29"/>
        <v>61.503709977285098</v>
      </c>
      <c r="P37" s="56">
        <f t="shared" ca="1" si="25"/>
        <v>78.643448832735643</v>
      </c>
    </row>
    <row r="38" spans="1:16" ht="21.75" customHeight="1" x14ac:dyDescent="0.4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493600</v>
      </c>
      <c r="N41" s="79">
        <f t="shared" ca="1" si="34"/>
        <v>439592.37</v>
      </c>
      <c r="O41" s="78">
        <f t="shared" ref="O41:O43" ca="1" si="35">IF(L41&gt;0,N41*100/L41,0)</f>
        <v>66.797199513751707</v>
      </c>
      <c r="P41" s="78">
        <f t="shared" ref="P41:P43" ca="1" si="36">IF(M41&gt;0,N41*100/M41,0)</f>
        <v>89.058421799027556</v>
      </c>
    </row>
    <row r="42" spans="1:16" ht="21.75" customHeight="1" x14ac:dyDescent="0.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493600</v>
      </c>
      <c r="N43" s="79">
        <f t="shared" ca="1" si="38"/>
        <v>439592.37</v>
      </c>
      <c r="O43" s="78">
        <f t="shared" ca="1" si="35"/>
        <v>66.797199513751707</v>
      </c>
      <c r="P43" s="78">
        <f t="shared" ca="1" si="36"/>
        <v>89.058421799027556</v>
      </c>
    </row>
    <row r="44" spans="1:16" ht="21.75" customHeight="1" x14ac:dyDescent="0.4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IFERROR(__xludf.DUMMYFUNCTION("IMPORTRANGE(""https://docs.google.com/spreadsheets/d/1Yj_ptqi66GCucihVvJfMjLAmec39IyEx_6qawtMGysU/edit?usp=sharing"",""สบก!Q27"")"),493600)</f>
        <v>493600</v>
      </c>
      <c r="N45" s="50">
        <f ca="1">IFERROR(__xludf.DUMMYFUNCTION("IMPORTRANGE(""https://docs.google.com/spreadsheets/d/1Yj_ptqi66GCucihVvJfMjLAmec39IyEx_6qawtMGysU/edit?usp=sharing"",""สบก!R27"")"),439592.37)</f>
        <v>439592.37</v>
      </c>
      <c r="O45" s="39">
        <f ca="1">IF(L45&gt;0,N45*100/L45,0)</f>
        <v>66.797199513751707</v>
      </c>
      <c r="P45" s="39">
        <f ca="1">IF(M45&gt;0,N45*100/M45,0)</f>
        <v>89.058421799027556</v>
      </c>
    </row>
    <row r="46" spans="1:16" ht="21.75" customHeight="1" x14ac:dyDescent="0.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4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4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476250</v>
      </c>
      <c r="N53" s="121">
        <f t="shared" ca="1" si="39"/>
        <v>380288.39</v>
      </c>
      <c r="O53" s="120">
        <f t="shared" ref="O53:O55" ca="1" si="40">IF(L53&gt;0,N53*100/L53,0)</f>
        <v>62.138625816993461</v>
      </c>
      <c r="P53" s="120">
        <f t="shared" ref="P53:P55" ca="1" si="41">IF(M53&gt;0,N53*100/M53,0)</f>
        <v>79.85058057742782</v>
      </c>
    </row>
    <row r="54" spans="1:16" ht="21.75" customHeight="1" x14ac:dyDescent="0.4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476250</v>
      </c>
      <c r="N55" s="121">
        <f t="shared" ca="1" si="43"/>
        <v>380288.39</v>
      </c>
      <c r="O55" s="120">
        <f t="shared" ca="1" si="40"/>
        <v>62.138625816993461</v>
      </c>
      <c r="P55" s="120">
        <f t="shared" ca="1" si="41"/>
        <v>79.85058057742782</v>
      </c>
    </row>
    <row r="56" spans="1:16" ht="21.75" customHeight="1" x14ac:dyDescent="0.4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IFERROR(__xludf.DUMMYFUNCTION("IMPORTRANGE(""https://docs.google.com/spreadsheets/d/1Yj_ptqi66GCucihVvJfMjLAmec39IyEx_6qawtMGysU/edit?usp=sharing"",""สบก!Z27"")"),476250)</f>
        <v>476250</v>
      </c>
      <c r="N57" s="50">
        <f ca="1">IFERROR(__xludf.DUMMYFUNCTION("IMPORTRANGE(""https://docs.google.com/spreadsheets/d/1Yj_ptqi66GCucihVvJfMjLAmec39IyEx_6qawtMGysU/edit?usp=sharing"",""สบก!AA27"")"),380288.39)</f>
        <v>380288.39</v>
      </c>
      <c r="O57" s="39">
        <f ca="1">IF(L57&gt;0,N57*100/L57,0)</f>
        <v>62.138625816993461</v>
      </c>
      <c r="P57" s="39">
        <f ca="1">IF(M57&gt;0,N57*100/M57,0)</f>
        <v>79.85058057742782</v>
      </c>
    </row>
    <row r="58" spans="1:16" ht="21.75" customHeight="1" x14ac:dyDescent="0.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4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3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4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3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3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4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4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3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3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IFERROR(__xludf.DUMMYFUNCTION("IMPORTRANGE(""https://docs.google.com/spreadsheets/d/1Yj_ptqi66GCucihVvJfMjLAmec39IyEx_6qawtMGysU/edit?usp=sharing"",""สบก!BA27"")"),0)</f>
        <v>0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3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4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4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3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3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93725</v>
      </c>
      <c r="N140" s="152">
        <f t="shared" ca="1" si="64"/>
        <v>44108</v>
      </c>
      <c r="O140" s="151">
        <f t="shared" ref="O140:O142" ca="1" si="65">IF(L140&gt;0,N140*100/L140,0)</f>
        <v>75.3982905982906</v>
      </c>
      <c r="P140" s="151">
        <f t="shared" ref="P140:P142" ca="1" si="66">IF(M140&gt;0,N140*100/M140,0)</f>
        <v>47.061082955454786</v>
      </c>
    </row>
    <row r="141" spans="1:16" ht="21.75" customHeight="1" x14ac:dyDescent="0.4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58500</v>
      </c>
      <c r="M142" s="88">
        <f t="shared" ca="1" si="68"/>
        <v>93725</v>
      </c>
      <c r="N142" s="88">
        <f t="shared" ca="1" si="68"/>
        <v>44108</v>
      </c>
      <c r="O142" s="156">
        <f t="shared" ca="1" si="65"/>
        <v>75.3982905982906</v>
      </c>
      <c r="P142" s="156">
        <f t="shared" ca="1" si="66"/>
        <v>47.061082955454786</v>
      </c>
    </row>
    <row r="143" spans="1:16" ht="21.75" customHeight="1" x14ac:dyDescent="0.4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IFERROR(__xludf.DUMMYFUNCTION("IMPORTRANGE(""https://docs.google.com/spreadsheets/d/1Yj_ptqi66GCucihVvJfMjLAmec39IyEx_6qawtMGysU/edit?usp=sharing"",""สบก!BJ27"")"),93725)</f>
        <v>93725</v>
      </c>
      <c r="N144" s="168">
        <f ca="1">IFERROR(__xludf.DUMMYFUNCTION("IMPORTRANGE(""https://docs.google.com/spreadsheets/d/1Yj_ptqi66GCucihVvJfMjLAmec39IyEx_6qawtMGysU/edit?usp=sharing"",""สบก!BK27"")"),44108)</f>
        <v>44108</v>
      </c>
      <c r="O144" s="168">
        <f ca="1">IF(L144&gt;0,N144*100/L144,0)</f>
        <v>75.3982905982906</v>
      </c>
      <c r="P144" s="168">
        <f ca="1">IF(M144&gt;0,N144*100/M144,0)</f>
        <v>47.061082955454786</v>
      </c>
    </row>
    <row r="145" spans="1:16" ht="21.75" customHeight="1" x14ac:dyDescent="0.3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3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4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4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3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IFERROR(__xludf.DUMMYFUNCTION("IMPORTRANGE(""https://docs.google.com/spreadsheets/d/11923uPwbBZFjjGgGUA6NLw09EwE0CqkOc4q9oUmW1yo/edit?usp=sharing"",""พิจิตร!J84"")"),56)</f>
        <v>56</v>
      </c>
      <c r="K159" s="163"/>
      <c r="L159" s="181"/>
      <c r="M159" s="181"/>
      <c r="N159" s="181"/>
      <c r="O159" s="181"/>
      <c r="P159" s="181"/>
    </row>
    <row r="160" spans="1:16" ht="21.75" customHeight="1" x14ac:dyDescent="0.4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IFERROR(__xludf.DUMMYFUNCTION("IMPORTRANGE(""https://docs.google.com/spreadsheets/d/11923uPwbBZFjjGgGUA6NLw09EwE0CqkOc4q9oUmW1yo/edit?usp=sharing"",""พิจิตร!J85"")"),56)</f>
        <v>56</v>
      </c>
      <c r="K160" s="163"/>
      <c r="L160" s="181"/>
      <c r="M160" s="181"/>
      <c r="N160" s="181"/>
      <c r="O160" s="181"/>
      <c r="P160" s="181"/>
    </row>
    <row r="161" spans="1:16" ht="21.75" customHeight="1" x14ac:dyDescent="0.4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IFERROR(__xludf.DUMMYFUNCTION("IMPORTRANGE(""https://docs.google.com/spreadsheets/d/11923uPwbBZFjjGgGUA6NLw09EwE0CqkOc4q9oUmW1yo/edit?usp=sharing"",""พิจิตร!J89"")"),2)</f>
        <v>2</v>
      </c>
      <c r="K164" s="285">
        <f ca="1">IF(I164&gt;0,J164*100/I164,0)</f>
        <v>66.666666666666671</v>
      </c>
      <c r="L164" s="277"/>
      <c r="M164" s="277"/>
      <c r="N164" s="277"/>
      <c r="O164" s="277"/>
      <c r="P164" s="277"/>
    </row>
    <row r="165" spans="1:16" ht="21.75" customHeight="1" x14ac:dyDescent="0.3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3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3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3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4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4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3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3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4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3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3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4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3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3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4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4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3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3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4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4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3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IFERROR(__xludf.DUMMYFUNCTION("IMPORTRANGE(""https://docs.google.com/spreadsheets/d/11923uPwbBZFjjGgGUA6NLw09EwE0CqkOc4q9oUmW1yo/edit?usp=sharing"",""พิจิตร!J228"")"),87)</f>
        <v>87</v>
      </c>
      <c r="K328" s="317">
        <f ca="1">IF(I328&gt;0,J328*100/I328,0)</f>
        <v>16.415094339622641</v>
      </c>
      <c r="L328" s="318"/>
      <c r="M328" s="318"/>
      <c r="N328" s="318"/>
      <c r="O328" s="317"/>
      <c r="P328" s="317"/>
    </row>
    <row r="329" spans="1:16" ht="21.75" customHeight="1" x14ac:dyDescent="0.4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1342340</v>
      </c>
      <c r="M329" s="152">
        <f t="shared" ca="1" si="98"/>
        <v>1020650</v>
      </c>
      <c r="N329" s="152">
        <f t="shared" ca="1" si="98"/>
        <v>770606.09</v>
      </c>
      <c r="O329" s="151">
        <f t="shared" ref="O329:O331" ca="1" si="99">IF(L329&gt;0,N329*100/L329,0)</f>
        <v>57.407667952977633</v>
      </c>
      <c r="P329" s="151">
        <f t="shared" ref="P329:P331" ca="1" si="100">IF(M329&gt;0,N329*100/M329,0)</f>
        <v>75.501502963797577</v>
      </c>
    </row>
    <row r="330" spans="1:16" ht="21.75" customHeight="1" x14ac:dyDescent="0.4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1342340</v>
      </c>
      <c r="M331" s="88">
        <f t="shared" ca="1" si="102"/>
        <v>1020650</v>
      </c>
      <c r="N331" s="88">
        <f t="shared" ca="1" si="102"/>
        <v>770606.09</v>
      </c>
      <c r="O331" s="156">
        <f t="shared" ca="1" si="99"/>
        <v>57.407667952977633</v>
      </c>
      <c r="P331" s="156">
        <f t="shared" ca="1" si="100"/>
        <v>75.501502963797577</v>
      </c>
    </row>
    <row r="332" spans="1:16" ht="21.75" customHeight="1" x14ac:dyDescent="0.4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1266740</v>
      </c>
      <c r="M333" s="167">
        <f ca="1">IFERROR(__xludf.DUMMYFUNCTION("IMPORTRANGE(""https://docs.google.com/spreadsheets/d/1Yj_ptqi66GCucihVvJfMjLAmec39IyEx_6qawtMGysU/edit?usp=sharing"",""สบก!DL27"")"),945050)</f>
        <v>945050</v>
      </c>
      <c r="N333" s="168">
        <f ca="1">IFERROR(__xludf.DUMMYFUNCTION("IMPORTRANGE(""https://docs.google.com/spreadsheets/d/1Yj_ptqi66GCucihVvJfMjLAmec39IyEx_6qawtMGysU/edit?usp=sharing"",""สบก!DM27"")"),695006.09)</f>
        <v>695006.09</v>
      </c>
      <c r="O333" s="168">
        <f ca="1">IF(L333&gt;0,N333*100/L333,0)</f>
        <v>54.865725405371265</v>
      </c>
      <c r="P333" s="168">
        <f ca="1">IF(M333&gt;0,N333*100/M333,0)</f>
        <v>73.541726892756998</v>
      </c>
    </row>
    <row r="334" spans="1:16" ht="21.75" customHeight="1" x14ac:dyDescent="0.3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3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IFERROR(__xludf.DUMMYFUNCTION("IMPORTRANGE(""https://docs.google.com/spreadsheets/d/1Yj_ptqi66GCucihVvJfMjLAmec39IyEx_6qawtMGysU/edit?usp=sharing"",""สบก!DI27"")"),412140)</f>
        <v>412140</v>
      </c>
      <c r="M335" s="167"/>
      <c r="N335" s="167"/>
      <c r="O335" s="168"/>
      <c r="P335" s="168"/>
    </row>
    <row r="336" spans="1:16" ht="21.75" customHeight="1" x14ac:dyDescent="0.4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3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IFERROR(__xludf.DUMMYFUNCTION("IMPORTRANGE(""https://docs.google.com/spreadsheets/d/11923uPwbBZFjjGgGUA6NLw09EwE0CqkOc4q9oUmW1yo/edit?usp=sharing"",""พิจิตร!J234"")"),45)</f>
        <v>45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3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IFERROR(__xludf.DUMMYFUNCTION("IMPORTRANGE(""https://docs.google.com/spreadsheets/d/11923uPwbBZFjjGgGUA6NLw09EwE0CqkOc4q9oUmW1yo/edit?usp=sharing"",""พิจิตร!J235"")"),405.64)</f>
        <v>405.64</v>
      </c>
      <c r="K340" s="342">
        <f t="shared" ca="1" si="103"/>
        <v>23.861176470588234</v>
      </c>
      <c r="L340" s="181"/>
      <c r="M340" s="181"/>
      <c r="N340" s="181"/>
      <c r="O340" s="343"/>
      <c r="P340" s="343"/>
    </row>
    <row r="341" spans="1:16" ht="21.75" customHeight="1" x14ac:dyDescent="0.3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IFERROR(__xludf.DUMMYFUNCTION("IMPORTRANGE(""https://docs.google.com/spreadsheets/d/11923uPwbBZFjjGgGUA6NLw09EwE0CqkOc4q9oUmW1yo/edit?usp=sharing"",""พิจิตร!J236"")"),126)</f>
        <v>126</v>
      </c>
      <c r="K341" s="342">
        <f t="shared" ca="1" si="103"/>
        <v>23.773584905660378</v>
      </c>
      <c r="L341" s="181"/>
      <c r="M341" s="181"/>
      <c r="N341" s="181"/>
      <c r="O341" s="343"/>
      <c r="P341" s="343"/>
    </row>
    <row r="342" spans="1:16" ht="21.75" customHeight="1" x14ac:dyDescent="0.3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IFERROR(__xludf.DUMMYFUNCTION("IMPORTRANGE(""https://docs.google.com/spreadsheets/d/11923uPwbBZFjjGgGUA6NLw09EwE0CqkOc4q9oUmW1yo/edit?usp=sharing"",""พิจิตร!J237"")"),1694.51)</f>
        <v>1694.51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3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3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3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IFERROR(__xludf.DUMMYFUNCTION("IMPORTRANGE(""https://docs.google.com/spreadsheets/d/11923uPwbBZFjjGgGUA6NLw09EwE0CqkOc4q9oUmW1yo/edit?usp=sharing"",""พิจิตร!J240"")"),87)</f>
        <v>87</v>
      </c>
      <c r="K345" s="342">
        <f t="shared" ca="1" si="103"/>
        <v>16.415094339622641</v>
      </c>
      <c r="L345" s="181"/>
      <c r="M345" s="181"/>
      <c r="N345" s="181"/>
      <c r="O345" s="343"/>
      <c r="P345" s="343"/>
    </row>
    <row r="346" spans="1:16" ht="21.75" customHeight="1" x14ac:dyDescent="0.3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IFERROR(__xludf.DUMMYFUNCTION("IMPORTRANGE(""https://docs.google.com/spreadsheets/d/11923uPwbBZFjjGgGUA6NLw09EwE0CqkOc4q9oUmW1yo/edit?usp=sharing"",""พิจิตร!J241"")"),1271.33)</f>
        <v>1271.33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3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IFERROR(__xludf.DUMMYFUNCTION("IMPORTRANGE(""https://docs.google.com/spreadsheets/d/11923uPwbBZFjjGgGUA6NLw09EwE0CqkOc4q9oUmW1yo/edit?usp=sharing"",""พิจิตร!L242"")"),2018547)</f>
        <v>2018547</v>
      </c>
      <c r="M347" s="357"/>
      <c r="N347" s="357">
        <f ca="1">IFERROR(__xludf.DUMMYFUNCTION("IMPORTRANGE(""https://docs.google.com/spreadsheets/d/11923uPwbBZFjjGgGUA6NLw09EwE0CqkOc4q9oUmW1yo/edit?usp=sharing"",""พิจิตร!M242"")"),791511.309999999)</f>
        <v>791511.30999999901</v>
      </c>
      <c r="O347" s="357">
        <f ca="1">+IF(L347&gt;0,N347*100/L347,0)</f>
        <v>39.211933633450151</v>
      </c>
      <c r="P347" s="357"/>
    </row>
    <row r="348" spans="1:16" ht="21.75" customHeight="1" x14ac:dyDescent="0.3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IFERROR(__xludf.DUMMYFUNCTION("IMPORTRANGE(""https://docs.google.com/spreadsheets/d/11923uPwbBZFjjGgGUA6NLw09EwE0CqkOc4q9oUmW1yo/edit?usp=sharing"",""พิจิตร!M244"")"),158447.7)</f>
        <v>158447.70000000001</v>
      </c>
      <c r="O349" s="372">
        <f ca="1">+IF(L349&gt;0,N349*100/L349,0)</f>
        <v>38.980441842157063</v>
      </c>
      <c r="P349" s="372"/>
    </row>
    <row r="350" spans="1:16" ht="21.75" customHeight="1" x14ac:dyDescent="0.3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IFERROR(__xludf.DUMMYFUNCTION("IMPORTRANGE(""https://docs.google.com/spreadsheets/d/11923uPwbBZFjjGgGUA6NLw09EwE0CqkOc4q9oUmW1yo/edit?usp=sharing"",""พิจิตร!M247"")"),158447.7)</f>
        <v>158447.70000000001</v>
      </c>
      <c r="O352" s="165">
        <f t="shared" ca="1" si="105"/>
        <v>38.980441842157063</v>
      </c>
      <c r="P352" s="165"/>
    </row>
    <row r="353" spans="1:16" ht="21.75" customHeight="1" x14ac:dyDescent="0.3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IFERROR(__xludf.DUMMYFUNCTION("IMPORTRANGE(""https://docs.google.com/spreadsheets/d/11923uPwbBZFjjGgGUA6NLw09EwE0CqkOc4q9oUmW1yo/edit?usp=sharing"",""พิจิตร!M249"")"),158447.7)</f>
        <v>158447.70000000001</v>
      </c>
      <c r="O354" s="168">
        <f t="shared" ca="1" si="105"/>
        <v>38.980441842157063</v>
      </c>
      <c r="P354" s="168"/>
    </row>
    <row r="355" spans="1:16" ht="21.75" customHeight="1" x14ac:dyDescent="0.3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IFERROR(__xludf.DUMMYFUNCTION("IMPORTRANGE(""https://docs.google.com/spreadsheets/d/11923uPwbBZFjjGgGUA6NLw09EwE0CqkOc4q9oUmW1yo/edit?usp=sharing"",""พิจิตร!M250"")"),66896)</f>
        <v>66896</v>
      </c>
      <c r="O355" s="168"/>
      <c r="P355" s="168"/>
    </row>
    <row r="356" spans="1:16" ht="21.75" customHeight="1" x14ac:dyDescent="0.3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IFERROR(__xludf.DUMMYFUNCTION("IMPORTRANGE(""https://docs.google.com/spreadsheets/d/11923uPwbBZFjjGgGUA6NLw09EwE0CqkOc4q9oUmW1yo/edit?usp=sharing"",""พิจิตร!M251"")"),0)</f>
        <v>0</v>
      </c>
      <c r="O356" s="168"/>
      <c r="P356" s="168"/>
    </row>
    <row r="357" spans="1:16" ht="21.75" customHeight="1" x14ac:dyDescent="0.3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IFERROR(__xludf.DUMMYFUNCTION("IMPORTRANGE(""https://docs.google.com/spreadsheets/d/11923uPwbBZFjjGgGUA6NLw09EwE0CqkOc4q9oUmW1yo/edit?usp=sharing"",""พิจิตร!M252"")"),82051.7)</f>
        <v>82051.7</v>
      </c>
      <c r="O357" s="168"/>
      <c r="P357" s="168"/>
    </row>
    <row r="358" spans="1:16" ht="21.75" customHeight="1" x14ac:dyDescent="0.3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IFERROR(__xludf.DUMMYFUNCTION("IMPORTRANGE(""https://docs.google.com/spreadsheets/d/11923uPwbBZFjjGgGUA6NLw09EwE0CqkOc4q9oUmW1yo/edit?usp=sharing"",""พิจิตร!M253"")"),9500)</f>
        <v>9500</v>
      </c>
      <c r="O358" s="168"/>
      <c r="P358" s="168"/>
    </row>
    <row r="359" spans="1:16" ht="21.75" customHeight="1" x14ac:dyDescent="0.3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IFERROR(__xludf.DUMMYFUNCTION("IMPORTRANGE(""https://docs.google.com/spreadsheets/d/11923uPwbBZFjjGgGUA6NLw09EwE0CqkOc4q9oUmW1yo/edit?usp=sharing"",""พิจิตร!M275"")"),32611)</f>
        <v>32611</v>
      </c>
      <c r="O380" s="372">
        <f ca="1">+IF(L380&gt;0,N380*100/L380,0)</f>
        <v>15.711601464636731</v>
      </c>
      <c r="P380" s="372"/>
    </row>
    <row r="381" spans="1:16" ht="21.75" customHeight="1" x14ac:dyDescent="0.3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IFERROR(__xludf.DUMMYFUNCTION("IMPORTRANGE(""https://docs.google.com/spreadsheets/d/11923uPwbBZFjjGgGUA6NLw09EwE0CqkOc4q9oUmW1yo/edit?usp=sharing"",""พิจิตร!M278"")"),32611)</f>
        <v>32611</v>
      </c>
      <c r="O383" s="165">
        <f t="shared" ca="1" si="109"/>
        <v>15.711601464636731</v>
      </c>
      <c r="P383" s="165"/>
    </row>
    <row r="384" spans="1:16" ht="21.75" customHeight="1" x14ac:dyDescent="0.3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IFERROR(__xludf.DUMMYFUNCTION("IMPORTRANGE(""https://docs.google.com/spreadsheets/d/11923uPwbBZFjjGgGUA6NLw09EwE0CqkOc4q9oUmW1yo/edit?usp=sharing"",""พิจิตร!M280"")"),32611)</f>
        <v>32611</v>
      </c>
      <c r="O385" s="168">
        <f t="shared" ca="1" si="109"/>
        <v>15.711601464636731</v>
      </c>
      <c r="P385" s="168"/>
    </row>
    <row r="386" spans="1:16" ht="21.75" customHeight="1" x14ac:dyDescent="0.3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3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3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3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IFERROR(__xludf.DUMMYFUNCTION("IMPORTRANGE(""https://docs.google.com/spreadsheets/d/11923uPwbBZFjjGgGUA6NLw09EwE0CqkOc4q9oUmW1yo/edit?usp=sharing"",""พิจิตร!M284"")"),4995)</f>
        <v>4995</v>
      </c>
      <c r="O389" s="168"/>
      <c r="P389" s="168"/>
    </row>
    <row r="390" spans="1:16" ht="21.75" customHeight="1" x14ac:dyDescent="0.3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IFERROR(__xludf.DUMMYFUNCTION("IMPORTRANGE(""https://docs.google.com/spreadsheets/d/11923uPwbBZFjjGgGUA6NLw09EwE0CqkOc4q9oUmW1yo/edit?usp=sharing"",""พิจิตร!M296"")"),113749)</f>
        <v>113749</v>
      </c>
      <c r="O401" s="372">
        <f ca="1">+IF(L401&gt;0,N401*100/L401,0)</f>
        <v>58.064828994384889</v>
      </c>
      <c r="P401" s="372"/>
    </row>
    <row r="402" spans="1:16" ht="21.75" customHeight="1" x14ac:dyDescent="0.3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IFERROR(__xludf.DUMMYFUNCTION("IMPORTRANGE(""https://docs.google.com/spreadsheets/d/11923uPwbBZFjjGgGUA6NLw09EwE0CqkOc4q9oUmW1yo/edit?usp=sharing"",""พิจิตร!M299"")"),113749)</f>
        <v>113749</v>
      </c>
      <c r="O404" s="168">
        <f t="shared" ca="1" si="112"/>
        <v>58.064828994384889</v>
      </c>
      <c r="P404" s="168"/>
    </row>
    <row r="405" spans="1:16" ht="21.75" customHeight="1" x14ac:dyDescent="0.3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IFERROR(__xludf.DUMMYFUNCTION("IMPORTRANGE(""https://docs.google.com/spreadsheets/d/11923uPwbBZFjjGgGUA6NLw09EwE0CqkOc4q9oUmW1yo/edit?usp=sharing"",""พิจิตร!M301"")"),113749)</f>
        <v>113749</v>
      </c>
      <c r="O406" s="168">
        <f t="shared" ca="1" si="112"/>
        <v>58.064828994384889</v>
      </c>
      <c r="P406" s="168"/>
    </row>
    <row r="407" spans="1:16" ht="21.75" customHeight="1" x14ac:dyDescent="0.3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3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3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3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IFERROR(__xludf.DUMMYFUNCTION("IMPORTRANGE(""https://docs.google.com/spreadsheets/d/11923uPwbBZFjjGgGUA6NLw09EwE0CqkOc4q9oUmW1yo/edit?usp=sharing"",""พิจิตร!M305"")"),15200)</f>
        <v>15200</v>
      </c>
      <c r="O410" s="168"/>
      <c r="P410" s="168"/>
    </row>
    <row r="411" spans="1:16" ht="21.75" customHeight="1" x14ac:dyDescent="0.3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IFERROR(__xludf.DUMMYFUNCTION("IMPORTRANGE(""https://docs.google.com/spreadsheets/d/11923uPwbBZFjjGgGUA6NLw09EwE0CqkOc4q9oUmW1yo/edit?usp=sharing"",""พิจิตร!M330"")"),71866)</f>
        <v>71866</v>
      </c>
      <c r="O435" s="411">
        <f t="shared" ref="O435:O439" ca="1" si="114">+IF(L435&gt;0,N435*100/L435,0)</f>
        <v>67.798113207547175</v>
      </c>
      <c r="P435" s="411"/>
    </row>
    <row r="436" spans="1:16" ht="21.75" customHeight="1" x14ac:dyDescent="0.3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IFERROR(__xludf.DUMMYFUNCTION("IMPORTRANGE(""https://docs.google.com/spreadsheets/d/11923uPwbBZFjjGgGUA6NLw09EwE0CqkOc4q9oUmW1yo/edit?usp=sharing"",""พิจิตร!M332"")"),71866)</f>
        <v>71866</v>
      </c>
      <c r="O437" s="168">
        <f t="shared" ca="1" si="114"/>
        <v>67.798113207547175</v>
      </c>
      <c r="P437" s="168"/>
    </row>
    <row r="438" spans="1:16" ht="21.75" customHeight="1" x14ac:dyDescent="0.3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IFERROR(__xludf.DUMMYFUNCTION("IMPORTRANGE(""https://docs.google.com/spreadsheets/d/11923uPwbBZFjjGgGUA6NLw09EwE0CqkOc4q9oUmW1yo/edit?usp=sharing"",""พิจิตร!M334"")"),71866)</f>
        <v>71866</v>
      </c>
      <c r="O439" s="168">
        <f t="shared" ca="1" si="114"/>
        <v>67.798113207547175</v>
      </c>
      <c r="P439" s="168"/>
    </row>
    <row r="440" spans="1:16" ht="21.75" customHeight="1" x14ac:dyDescent="0.3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3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3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3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IFERROR(__xludf.DUMMYFUNCTION("IMPORTRANGE(""https://docs.google.com/spreadsheets/d/11923uPwbBZFjjGgGUA6NLw09EwE0CqkOc4q9oUmW1yo/edit?usp=sharing"",""พิจิตร!M338"")"),39675)</f>
        <v>39675</v>
      </c>
      <c r="O443" s="168"/>
      <c r="P443" s="168"/>
    </row>
    <row r="444" spans="1:16" ht="21.75" customHeight="1" x14ac:dyDescent="0.3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IFERROR(__xludf.DUMMYFUNCTION("IMPORTRANGE(""https://docs.google.com/spreadsheets/d/11923uPwbBZFjjGgGUA6NLw09EwE0CqkOc4q9oUmW1yo/edit?usp=sharing"",""พิจิตร!L350"")"),585237)</f>
        <v>585237</v>
      </c>
      <c r="M455" s="372"/>
      <c r="N455" s="372">
        <f ca="1">IFERROR(__xludf.DUMMYFUNCTION("IMPORTRANGE(""https://docs.google.com/spreadsheets/d/11923uPwbBZFjjGgGUA6NLw09EwE0CqkOc4q9oUmW1yo/edit?usp=sharing"",""พิจิตร!M350"")"),142146.78)</f>
        <v>142146.78</v>
      </c>
      <c r="O455" s="372">
        <f t="shared" ref="O455:O459" ca="1" si="116">+IF(L455&gt;0,N455*100/L455,0)</f>
        <v>24.288754812153027</v>
      </c>
      <c r="P455" s="372"/>
    </row>
    <row r="456" spans="1:16" ht="21.75" customHeight="1" x14ac:dyDescent="0.3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IFERROR(__xludf.DUMMYFUNCTION("IMPORTRANGE(""https://docs.google.com/spreadsheets/d/11923uPwbBZFjjGgGUA6NLw09EwE0CqkOc4q9oUmW1yo/edit?usp=sharing"",""พิจิตร!L352"")"),585237)</f>
        <v>585237</v>
      </c>
      <c r="M457" s="165"/>
      <c r="N457" s="168">
        <f ca="1">IFERROR(__xludf.DUMMYFUNCTION("IMPORTRANGE(""https://docs.google.com/spreadsheets/d/11923uPwbBZFjjGgGUA6NLw09EwE0CqkOc4q9oUmW1yo/edit?usp=sharing"",""พิจิตร!M352"")"),142146.78)</f>
        <v>142146.78</v>
      </c>
      <c r="O457" s="168">
        <f t="shared" ca="1" si="116"/>
        <v>24.288754812153027</v>
      </c>
      <c r="P457" s="168"/>
    </row>
    <row r="458" spans="1:16" ht="21.75" customHeight="1" x14ac:dyDescent="0.3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IFERROR(__xludf.DUMMYFUNCTION("IMPORTRANGE(""https://docs.google.com/spreadsheets/d/11923uPwbBZFjjGgGUA6NLw09EwE0CqkOc4q9oUmW1yo/edit?usp=sharing"",""พิจิตร!L354"")"),585237)</f>
        <v>585237</v>
      </c>
      <c r="M459" s="168"/>
      <c r="N459" s="168">
        <f ca="1">IFERROR(__xludf.DUMMYFUNCTION("IMPORTRANGE(""https://docs.google.com/spreadsheets/d/11923uPwbBZFjjGgGUA6NLw09EwE0CqkOc4q9oUmW1yo/edit?usp=sharing"",""พิจิตร!M354"")"),142146.78)</f>
        <v>142146.78</v>
      </c>
      <c r="O459" s="168">
        <f t="shared" ca="1" si="116"/>
        <v>24.288754812153027</v>
      </c>
      <c r="P459" s="168"/>
    </row>
    <row r="460" spans="1:16" ht="21.75" customHeight="1" x14ac:dyDescent="0.3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3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3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IFERROR(__xludf.DUMMYFUNCTION("IMPORTRANGE(""https://docs.google.com/spreadsheets/d/11923uPwbBZFjjGgGUA6NLw09EwE0CqkOc4q9oUmW1yo/edit?usp=sharing"",""พิจิตร!M357"")"),70346.78)</f>
        <v>70346.78</v>
      </c>
      <c r="O462" s="168"/>
      <c r="P462" s="168"/>
    </row>
    <row r="463" spans="1:16" ht="21.75" customHeight="1" x14ac:dyDescent="0.3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IFERROR(__xludf.DUMMYFUNCTION("IMPORTRANGE(""https://docs.google.com/spreadsheets/d/11923uPwbBZFjjGgGUA6NLw09EwE0CqkOc4q9oUmW1yo/edit?usp=sharing"",""พิจิตร!M358"")"),71800)</f>
        <v>71800</v>
      </c>
      <c r="O463" s="168"/>
      <c r="P463" s="168"/>
    </row>
    <row r="464" spans="1:16" ht="21.75" customHeight="1" x14ac:dyDescent="0.3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3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3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3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3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IFERROR(__xludf.DUMMYFUNCTION("IMPORTRANGE(""https://docs.google.com/spreadsheets/d/11923uPwbBZFjjGgGUA6NLw09EwE0CqkOc4q9oUmW1yo/edit?usp=sharing"",""พิจิตร!J392"")"),754.27)</f>
        <v>754.27</v>
      </c>
      <c r="K497" s="444">
        <f t="shared" ca="1" si="117"/>
        <v>67.105871886120994</v>
      </c>
      <c r="L497" s="445"/>
      <c r="M497" s="445"/>
      <c r="N497" s="445"/>
      <c r="O497" s="445"/>
      <c r="P497" s="445"/>
    </row>
    <row r="498" spans="1:16" ht="21.75" customHeight="1" x14ac:dyDescent="0.3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IFERROR(__xludf.DUMMYFUNCTION("IMPORTRANGE(""https://docs.google.com/spreadsheets/d/11923uPwbBZFjjGgGUA6NLw09EwE0CqkOc4q9oUmW1yo/edit?usp=sharing"",""พิจิตร!J393"")"),754.27)</f>
        <v>754.27</v>
      </c>
      <c r="K498" s="163">
        <f t="shared" ca="1" si="117"/>
        <v>67.105871886120994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IFERROR(__xludf.DUMMYFUNCTION("IMPORTRANGE(""https://docs.google.com/spreadsheets/d/11923uPwbBZFjjGgGUA6NLw09EwE0CqkOc4q9oUmW1yo/edit?usp=sharing"",""พิจิตร!J394"")"),40)</f>
        <v>40</v>
      </c>
      <c r="K499" s="201">
        <f t="shared" ca="1" si="117"/>
        <v>68.965517241379317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IFERROR(__xludf.DUMMYFUNCTION("IMPORTRANGE(""https://docs.google.com/spreadsheets/d/11923uPwbBZFjjGgGUA6NLw09EwE0CqkOc4q9oUmW1yo/edit?usp=sharing"",""พิจิตร!J395"")"),728.25)</f>
        <v>728.25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IFERROR(__xludf.DUMMYFUNCTION("IMPORTRANGE(""https://docs.google.com/spreadsheets/d/11923uPwbBZFjjGgGUA6NLw09EwE0CqkOc4q9oUmW1yo/edit?usp=sharing"",""พิจิตร!J396"")"),38)</f>
        <v>38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IFERROR(__xludf.DUMMYFUNCTION("IMPORTRANGE(""https://docs.google.com/spreadsheets/d/11923uPwbBZFjjGgGUA6NLw09EwE0CqkOc4q9oUmW1yo/edit?usp=sharing"",""พิจิตร!J397"")"),728.25)</f>
        <v>728.25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IFERROR(__xludf.DUMMYFUNCTION("IMPORTRANGE(""https://docs.google.com/spreadsheets/d/11923uPwbBZFjjGgGUA6NLw09EwE0CqkOc4q9oUmW1yo/edit?usp=sharing"",""พิจิตร!J398"")"),38)</f>
        <v>38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IFERROR(__xludf.DUMMYFUNCTION("IMPORTRANGE(""https://docs.google.com/spreadsheets/d/11923uPwbBZFjjGgGUA6NLw09EwE0CqkOc4q9oUmW1yo/edit?usp=sharing"",""พิจิตร!J403"")"),26.02)</f>
        <v>26.02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IFERROR(__xludf.DUMMYFUNCTION("IMPORTRANGE(""https://docs.google.com/spreadsheets/d/11923uPwbBZFjjGgGUA6NLw09EwE0CqkOc4q9oUmW1yo/edit?usp=sharing"",""พิจิตร!J405"")"),26.02)</f>
        <v>26.02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IFERROR(__xludf.DUMMYFUNCTION("IMPORTRANGE(""https://docs.google.com/spreadsheets/d/11923uPwbBZFjjGgGUA6NLw09EwE0CqkOc4q9oUmW1yo/edit?usp=sharing"",""พิจิตร!J420"")"),119.77)</f>
        <v>119.77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IFERROR(__xludf.DUMMYFUNCTION("IMPORTRANGE(""https://docs.google.com/spreadsheets/d/11923uPwbBZFjjGgGUA6NLw09EwE0CqkOc4q9oUmW1yo/edit?usp=sharing"",""พิจิตร!J421"")"),31)</f>
        <v>31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IFERROR(__xludf.DUMMYFUNCTION("IMPORTRANGE(""https://docs.google.com/spreadsheets/d/11923uPwbBZFjjGgGUA6NLw09EwE0CqkOc4q9oUmW1yo/edit?usp=sharing"",""พิจิตร!J422"")"),14.28)</f>
        <v>14.28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IFERROR(__xludf.DUMMYFUNCTION("IMPORTRANGE(""https://docs.google.com/spreadsheets/d/11923uPwbBZFjjGgGUA6NLw09EwE0CqkOc4q9oUmW1yo/edit?usp=sharing"",""พิจิตร!J424"")"),105.49)</f>
        <v>105.49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IFERROR(__xludf.DUMMYFUNCTION("IMPORTRANGE(""https://docs.google.com/spreadsheets/d/11923uPwbBZFjjGgGUA6NLw09EwE0CqkOc4q9oUmW1yo/edit?usp=sharing"",""พิจิตร!J425"")"),25)</f>
        <v>25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3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3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3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3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3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3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3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3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3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3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IFERROR(__xludf.DUMMYFUNCTION("IMPORTRANGE(""https://docs.google.com/spreadsheets/d/11923uPwbBZFjjGgGUA6NLw09EwE0CqkOc4q9oUmW1yo/edit?usp=sharing"",""พิจิตร!J459"")"),1031)</f>
        <v>1031</v>
      </c>
      <c r="K564" s="371">
        <f ca="1">IF(I564&gt;0,J564*100/I564,0)</f>
        <v>93.727272727272734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IFERROR(__xludf.DUMMYFUNCTION("IMPORTRANGE(""https://docs.google.com/spreadsheets/d/11923uPwbBZFjjGgGUA6NLw09EwE0CqkOc4q9oUmW1yo/edit?usp=sharing"",""พิจิตร!M459"")"),76766.19)</f>
        <v>76766.19</v>
      </c>
      <c r="O564" s="372">
        <f t="shared" ref="O564:O568" ca="1" si="122">+IF(L564&gt;0,N564*100/L564,0)</f>
        <v>60.886889276649747</v>
      </c>
      <c r="P564" s="372"/>
    </row>
    <row r="565" spans="1:16" ht="21.75" customHeight="1" x14ac:dyDescent="0.3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IFERROR(__xludf.DUMMYFUNCTION("IMPORTRANGE(""https://docs.google.com/spreadsheets/d/11923uPwbBZFjjGgGUA6NLw09EwE0CqkOc4q9oUmW1yo/edit?usp=sharing"",""พิจิตร!M461"")"),76766.19)</f>
        <v>76766.19</v>
      </c>
      <c r="O566" s="168">
        <f t="shared" ca="1" si="122"/>
        <v>60.886889276649747</v>
      </c>
      <c r="P566" s="168"/>
    </row>
    <row r="567" spans="1:16" ht="21.75" customHeight="1" x14ac:dyDescent="0.3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IFERROR(__xludf.DUMMYFUNCTION("IMPORTRANGE(""https://docs.google.com/spreadsheets/d/11923uPwbBZFjjGgGUA6NLw09EwE0CqkOc4q9oUmW1yo/edit?usp=sharing"",""พิจิตร!M463"")"),76766.19)</f>
        <v>76766.19</v>
      </c>
      <c r="O568" s="168">
        <f t="shared" ca="1" si="122"/>
        <v>60.886889276649747</v>
      </c>
      <c r="P568" s="168"/>
    </row>
    <row r="569" spans="1:16" ht="21.75" customHeight="1" x14ac:dyDescent="0.3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3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3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IFERROR(__xludf.DUMMYFUNCTION("IMPORTRANGE(""https://docs.google.com/spreadsheets/d/11923uPwbBZFjjGgGUA6NLw09EwE0CqkOc4q9oUmW1yo/edit?usp=sharing"",""พิจิตร!M466"")"),68330.19)</f>
        <v>68330.19</v>
      </c>
      <c r="O571" s="168"/>
      <c r="P571" s="168"/>
    </row>
    <row r="572" spans="1:16" ht="21.75" customHeight="1" x14ac:dyDescent="0.3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IFERROR(__xludf.DUMMYFUNCTION("IMPORTRANGE(""https://docs.google.com/spreadsheets/d/11923uPwbBZFjjGgGUA6NLw09EwE0CqkOc4q9oUmW1yo/edit?usp=sharing"",""พิจิตร!M467"")"),8436)</f>
        <v>8436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IFERROR(__xludf.DUMMYFUNCTION("IMPORTRANGE(""https://docs.google.com/spreadsheets/d/11923uPwbBZFjjGgGUA6NLw09EwE0CqkOc4q9oUmW1yo/edit?usp=sharing"",""พิจิตร!J468"")"),1031)</f>
        <v>1031</v>
      </c>
      <c r="K573" s="201">
        <f ca="1">IF(I573&gt;0,J573*100/I573,0)</f>
        <v>93.727272727272734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IFERROR(__xludf.DUMMYFUNCTION("IMPORTRANGE(""https://docs.google.com/spreadsheets/d/11923uPwbBZFjjGgGUA6NLw09EwE0CqkOc4q9oUmW1yo/edit?usp=sharing"",""พิจิตร!J471"")"),191)</f>
        <v>191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IFERROR(__xludf.DUMMYFUNCTION("IMPORTRANGE(""https://docs.google.com/spreadsheets/d/11923uPwbBZFjjGgGUA6NLw09EwE0CqkOc4q9oUmW1yo/edit?usp=sharing"",""พิจิตร!J472"")"),840)</f>
        <v>840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IFERROR(__xludf.DUMMYFUNCTION("IMPORTRANGE(""https://docs.google.com/spreadsheets/d/11923uPwbBZFjjGgGUA6NLw09EwE0CqkOc4q9oUmW1yo/edit?usp=sharing"",""พิจิตร!J475"")"),21)</f>
        <v>21</v>
      </c>
      <c r="K580" s="371">
        <f ca="1">IF(I580&gt;0,J580*100/I580,0)</f>
        <v>10.5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IFERROR(__xludf.DUMMYFUNCTION("IMPORTRANGE(""https://docs.google.com/spreadsheets/d/11923uPwbBZFjjGgGUA6NLw09EwE0CqkOc4q9oUmW1yo/edit?usp=sharing"",""พิจิตร!M475"")"),175949.64)</f>
        <v>175949.64</v>
      </c>
      <c r="O580" s="372">
        <f t="shared" ref="O580:O584" ca="1" si="124">+IF(L580&gt;0,N580*100/L580,0)</f>
        <v>49.928955732122589</v>
      </c>
      <c r="P580" s="372"/>
    </row>
    <row r="581" spans="1:16" ht="21.75" customHeight="1" x14ac:dyDescent="0.3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IFERROR(__xludf.DUMMYFUNCTION("IMPORTRANGE(""https://docs.google.com/spreadsheets/d/11923uPwbBZFjjGgGUA6NLw09EwE0CqkOc4q9oUmW1yo/edit?usp=sharing"",""พิจิตร!M477"")"),175949.64)</f>
        <v>175949.64</v>
      </c>
      <c r="O582" s="168">
        <f t="shared" ca="1" si="124"/>
        <v>49.928955732122589</v>
      </c>
      <c r="P582" s="168"/>
    </row>
    <row r="583" spans="1:16" ht="21.75" customHeight="1" x14ac:dyDescent="0.3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IFERROR(__xludf.DUMMYFUNCTION("IMPORTRANGE(""https://docs.google.com/spreadsheets/d/11923uPwbBZFjjGgGUA6NLw09EwE0CqkOc4q9oUmW1yo/edit?usp=sharing"",""พิจิตร!M479"")"),175949.64)</f>
        <v>175949.64</v>
      </c>
      <c r="O584" s="168">
        <f t="shared" ca="1" si="124"/>
        <v>49.928955732122589</v>
      </c>
      <c r="P584" s="168"/>
    </row>
    <row r="585" spans="1:16" ht="21.75" customHeight="1" x14ac:dyDescent="0.3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3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3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IFERROR(__xludf.DUMMYFUNCTION("IMPORTRANGE(""https://docs.google.com/spreadsheets/d/11923uPwbBZFjjGgGUA6NLw09EwE0CqkOc4q9oUmW1yo/edit?usp=sharing"",""พิจิตร!M482"")"),69465.59)</f>
        <v>69465.59</v>
      </c>
      <c r="O587" s="168"/>
      <c r="P587" s="168"/>
    </row>
    <row r="588" spans="1:16" ht="21.75" customHeight="1" x14ac:dyDescent="0.3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IFERROR(__xludf.DUMMYFUNCTION("IMPORTRANGE(""https://docs.google.com/spreadsheets/d/11923uPwbBZFjjGgGUA6NLw09EwE0CqkOc4q9oUmW1yo/edit?usp=sharing"",""พิจิตร!M483"")"),106484.05)</f>
        <v>106484.05</v>
      </c>
      <c r="O588" s="168"/>
      <c r="P588" s="168"/>
    </row>
    <row r="589" spans="1:16" ht="21.75" customHeight="1" x14ac:dyDescent="0.3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IFERROR(__xludf.DUMMYFUNCTION("IMPORTRANGE(""https://docs.google.com/spreadsheets/d/11923uPwbBZFjjGgGUA6NLw09EwE0CqkOc4q9oUmW1yo/edit?usp=sharing"",""พิจิตร!J484"")"),167)</f>
        <v>167</v>
      </c>
      <c r="K589" s="163">
        <f t="shared" ref="K589:K596" ca="1" si="125">IF(I589&gt;0,J589*100/I589,0)</f>
        <v>83.5</v>
      </c>
      <c r="L589" s="181"/>
      <c r="M589" s="181"/>
      <c r="N589" s="168"/>
      <c r="O589" s="181"/>
      <c r="P589" s="181"/>
    </row>
    <row r="590" spans="1:16" ht="21.75" customHeight="1" x14ac:dyDescent="0.3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IFERROR(__xludf.DUMMYFUNCTION("IMPORTRANGE(""https://docs.google.com/spreadsheets/d/11923uPwbBZFjjGgGUA6NLw09EwE0CqkOc4q9oUmW1yo/edit?usp=sharing"",""พิจิตร!J485"")"),102.56)</f>
        <v>102.56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IFERROR(__xludf.DUMMYFUNCTION("IMPORTRANGE(""https://docs.google.com/spreadsheets/d/11923uPwbBZFjjGgGUA6NLw09EwE0CqkOc4q9oUmW1yo/edit?usp=sharing"",""พิจิตร!J486"")"),44)</f>
        <v>44</v>
      </c>
      <c r="K591" s="163">
        <f t="shared" ca="1" si="125"/>
        <v>22</v>
      </c>
      <c r="L591" s="181"/>
      <c r="M591" s="181"/>
      <c r="N591" s="181"/>
      <c r="O591" s="181"/>
      <c r="P591" s="181"/>
    </row>
    <row r="592" spans="1:16" ht="21.75" customHeight="1" x14ac:dyDescent="0.3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IFERROR(__xludf.DUMMYFUNCTION("IMPORTRANGE(""https://docs.google.com/spreadsheets/d/11923uPwbBZFjjGgGUA6NLw09EwE0CqkOc4q9oUmW1yo/edit?usp=sharing"",""พิจิตร!J487"")"),31)</f>
        <v>31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IFERROR(__xludf.DUMMYFUNCTION("IMPORTRANGE(""https://docs.google.com/spreadsheets/d/11923uPwbBZFjjGgGUA6NLw09EwE0CqkOc4q9oUmW1yo/edit?usp=sharing"",""พิจิตร!J490"")"),21)</f>
        <v>21</v>
      </c>
      <c r="K595" s="163">
        <f t="shared" ca="1" si="125"/>
        <v>10.5</v>
      </c>
      <c r="L595" s="181"/>
      <c r="M595" s="181"/>
      <c r="N595" s="181"/>
      <c r="O595" s="181"/>
      <c r="P595" s="181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IFERROR(__xludf.DUMMYFUNCTION("IMPORTRANGE(""https://docs.google.com/spreadsheets/d/11923uPwbBZFjjGgGUA6NLw09EwE0CqkOc4q9oUmW1yo/edit?usp=sharing"",""พิจิตร!J491"")"),15.26)</f>
        <v>15.26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7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39.428571428571431</v>
      </c>
      <c r="P597" s="411"/>
    </row>
    <row r="598" spans="1:16" ht="21.75" customHeight="1" x14ac:dyDescent="0.3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3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3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3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3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3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3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3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IFERROR(__xludf.DUMMYFUNCTION("IMPORTRANGE(""https://docs.google.com/spreadsheets/d/11923uPwbBZFjjGgGUA6NLw09EwE0CqkOc4q9oUmW1yo/edit?usp=sharing"",""พิจิตร!I523"")"),2520250)</f>
        <v>2520250</v>
      </c>
      <c r="J628" s="341">
        <f ca="1">IFERROR(__xludf.DUMMYFUNCTION("IMPORTRANGE(""https://docs.google.com/spreadsheets/d/11923uPwbBZFjjGgGUA6NLw09EwE0CqkOc4q9oUmW1yo/edit?usp=sharing"",""พิจิตร!J523"")"),1416450)</f>
        <v>1416450</v>
      </c>
      <c r="K628" s="342">
        <f t="shared" ref="K628:K635" ca="1" si="129">IF(I628&gt;0,J628*100/I628,0)</f>
        <v>56.202757662930267</v>
      </c>
      <c r="L628" s="342"/>
      <c r="M628" s="342"/>
      <c r="N628" s="342"/>
      <c r="O628" s="168"/>
      <c r="P628" s="168"/>
    </row>
    <row r="629" spans="1:16" ht="21.75" customHeight="1" x14ac:dyDescent="0.3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IFERROR(__xludf.DUMMYFUNCTION("IMPORTRANGE(""https://docs.google.com/spreadsheets/d/11923uPwbBZFjjGgGUA6NLw09EwE0CqkOc4q9oUmW1yo/edit?usp=sharing"",""พิจิตร!I524"")"),93)</f>
        <v>93</v>
      </c>
      <c r="J629" s="341">
        <f ca="1">IFERROR(__xludf.DUMMYFUNCTION("IMPORTRANGE(""https://docs.google.com/spreadsheets/d/11923uPwbBZFjjGgGUA6NLw09EwE0CqkOc4q9oUmW1yo/edit?usp=sharing"",""พิจิตร!J524"")"),50)</f>
        <v>50</v>
      </c>
      <c r="K629" s="342">
        <f t="shared" ca="1" si="129"/>
        <v>53.763440860215056</v>
      </c>
      <c r="L629" s="342"/>
      <c r="M629" s="342"/>
      <c r="N629" s="342"/>
      <c r="O629" s="168"/>
      <c r="P629" s="168"/>
    </row>
    <row r="630" spans="1:16" ht="21.75" customHeight="1" x14ac:dyDescent="0.3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IFERROR(__xludf.DUMMYFUNCTION("IMPORTRANGE(""https://docs.google.com/spreadsheets/d/11923uPwbBZFjjGgGUA6NLw09EwE0CqkOc4q9oUmW1yo/edit?usp=sharing"",""พิจิตร!J525"")"),58427.24)</f>
        <v>58427.24</v>
      </c>
      <c r="K630" s="342">
        <f t="shared" ca="1" si="129"/>
        <v>11.438587272634368</v>
      </c>
      <c r="L630" s="342"/>
      <c r="M630" s="342"/>
      <c r="N630" s="342"/>
      <c r="O630" s="168"/>
      <c r="P630" s="168"/>
    </row>
    <row r="631" spans="1:16" ht="21.75" customHeight="1" x14ac:dyDescent="0.3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IFERROR(__xludf.DUMMYFUNCTION("IMPORTRANGE(""https://docs.google.com/spreadsheets/d/11923uPwbBZFjjGgGUA6NLw09EwE0CqkOc4q9oUmW1yo/edit?usp=sharing"",""พิจิตร!J526"")"),16)</f>
        <v>16</v>
      </c>
      <c r="K631" s="342">
        <f t="shared" ca="1" si="129"/>
        <v>55.172413793103445</v>
      </c>
      <c r="L631" s="342"/>
      <c r="M631" s="342"/>
      <c r="N631" s="342"/>
      <c r="O631" s="168"/>
      <c r="P631" s="168"/>
    </row>
    <row r="632" spans="1:16" ht="21.75" customHeight="1" x14ac:dyDescent="0.3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IFERROR(__xludf.DUMMYFUNCTION("IMPORTRANGE(""https://docs.google.com/spreadsheets/d/11923uPwbBZFjjGgGUA6NLw09EwE0CqkOc4q9oUmW1yo/edit?usp=sharing"",""พิจิตร!J527"")"),2785500.8)</f>
        <v>2785500.8</v>
      </c>
      <c r="K632" s="342">
        <f t="shared" ca="1" si="129"/>
        <v>45.360158660686459</v>
      </c>
      <c r="L632" s="342"/>
      <c r="M632" s="342"/>
      <c r="N632" s="342"/>
      <c r="O632" s="168"/>
      <c r="P632" s="168"/>
    </row>
    <row r="633" spans="1:16" ht="21.75" customHeight="1" x14ac:dyDescent="0.3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IFERROR(__xludf.DUMMYFUNCTION("IMPORTRANGE(""https://docs.google.com/spreadsheets/d/11923uPwbBZFjjGgGUA6NLw09EwE0CqkOc4q9oUmW1yo/edit?usp=sharing"",""พิจิตร!J528"")"),415)</f>
        <v>415</v>
      </c>
      <c r="K633" s="342">
        <f t="shared" ca="1" si="129"/>
        <v>86.099585062240664</v>
      </c>
      <c r="L633" s="342"/>
      <c r="M633" s="342"/>
      <c r="N633" s="342"/>
      <c r="O633" s="168"/>
      <c r="P633" s="168"/>
    </row>
    <row r="634" spans="1:16" ht="21.75" customHeight="1" x14ac:dyDescent="0.3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IFERROR(__xludf.DUMMYFUNCTION("IMPORTRANGE(""https://docs.google.com/spreadsheets/d/11923uPwbBZFjjGgGUA6NLw09EwE0CqkOc4q9oUmW1yo/edit?usp=sharing"",""พิจิตร!I529"")"),2320000)</f>
        <v>2320000</v>
      </c>
      <c r="J634" s="341">
        <f ca="1">IFERROR(__xludf.DUMMYFUNCTION("IMPORTRANGE(""https://docs.google.com/spreadsheets/d/11923uPwbBZFjjGgGUA6NLw09EwE0CqkOc4q9oUmW1yo/edit?usp=sharing"",""พิจิตร!J529"")"),750000)</f>
        <v>750000</v>
      </c>
      <c r="K634" s="342">
        <f t="shared" ca="1" si="129"/>
        <v>32.327586206896555</v>
      </c>
      <c r="L634" s="342"/>
      <c r="M634" s="342"/>
      <c r="N634" s="342"/>
      <c r="O634" s="168"/>
      <c r="P634" s="168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IFERROR(__xludf.DUMMYFUNCTION("IMPORTRANGE(""https://docs.google.com/spreadsheets/d/11923uPwbBZFjjGgGUA6NLw09EwE0CqkOc4q9oUmW1yo/edit?usp=sharing"",""พิจิตร!I530"")"),87)</f>
        <v>87</v>
      </c>
      <c r="J635" s="504">
        <f ca="1">IFERROR(__xludf.DUMMYFUNCTION("IMPORTRANGE(""https://docs.google.com/spreadsheets/d/11923uPwbBZFjjGgGUA6NLw09EwE0CqkOc4q9oUmW1yo/edit?usp=sharing"",""พิจิตร!J530"")"),25)</f>
        <v>25</v>
      </c>
      <c r="K635" s="486">
        <f t="shared" ca="1" si="129"/>
        <v>28.735632183908045</v>
      </c>
      <c r="L635" s="486"/>
      <c r="M635" s="486"/>
      <c r="N635" s="486"/>
      <c r="O635" s="505"/>
      <c r="P635" s="505"/>
    </row>
    <row r="636" spans="1:16" ht="21.75" customHeight="1" x14ac:dyDescent="0.4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21330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4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4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21330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4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4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21330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4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4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4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4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4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4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IFERROR(__xludf.DUMMYFUNCTION("IMPORTRANGE(""https://docs.google.com/spreadsheets/d/11923uPwbBZFjjGgGUA6NLw09EwE0CqkOc4q9oUmW1yo/edit?usp=sharing"",""พิจิตร!J541"")"),0)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4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IFERROR(__xludf.DUMMYFUNCTION("IMPORTRANGE(""https://docs.google.com/spreadsheets/d/11923uPwbBZFjjGgGUA6NLw09EwE0CqkOc4q9oUmW1yo/edit?usp=sharing"",""พิจิตร!J542"")"),0)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4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IFERROR(__xludf.DUMMYFUNCTION("IMPORTRANGE(""https://docs.google.com/spreadsheets/d/11923uPwbBZFjjGgGUA6NLw09EwE0CqkOc4q9oUmW1yo/edit?usp=sharing"",""พิจิตร!I543"")"),0)</f>
        <v>0</v>
      </c>
      <c r="J648" s="535">
        <f ca="1">IFERROR(__xludf.DUMMYFUNCTION("IMPORTRANGE(""https://docs.google.com/spreadsheets/d/11923uPwbBZFjjGgGUA6NLw09EwE0CqkOc4q9oUmW1yo/edit?usp=sharing"",""พิจิตร!J543"")"),0)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IFERROR(__xludf.DUMMYFUNCTION("IMPORTRANGE(""https://docs.google.com/spreadsheets/d/11923uPwbBZFjjGgGUA6NLw09EwE0CqkOc4q9oUmW1yo/edit?usp=sharing"",""พิจิตร!L543"")"),0)</f>
        <v>0</v>
      </c>
      <c r="M648" s="520"/>
      <c r="N648" s="537">
        <f ca="1">IFERROR(__xludf.DUMMYFUNCTION("IMPORTRANGE(""https://docs.google.com/spreadsheets/d/11923uPwbBZFjjGgGUA6NLw09EwE0CqkOc4q9oUmW1yo/edit?usp=sharing"",""พิจิตร!M543"")"),0)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4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IFERROR(__xludf.DUMMYFUNCTION("IMPORTRANGE(""https://docs.google.com/spreadsheets/d/11923uPwbBZFjjGgGUA6NLw09EwE0CqkOc4q9oUmW1yo/edit?usp=sharing"",""พิจิตร!I544"")"),0)</f>
        <v>0</v>
      </c>
      <c r="J649" s="535">
        <f ca="1">IFERROR(__xludf.DUMMYFUNCTION("IMPORTRANGE(""https://docs.google.com/spreadsheets/d/11923uPwbBZFjjGgGUA6NLw09EwE0CqkOc4q9oUmW1yo/edit?usp=sharing"",""พิจิตร!J544"")"),0)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IFERROR(__xludf.DUMMYFUNCTION("IMPORTRANGE(""https://docs.google.com/spreadsheets/d/11923uPwbBZFjjGgGUA6NLw09EwE0CqkOc4q9oUmW1yo/edit?usp=sharing"",""พิจิตร!L544"")"),0)</f>
        <v>0</v>
      </c>
      <c r="M649" s="520"/>
      <c r="N649" s="537">
        <f ca="1">IFERROR(__xludf.DUMMYFUNCTION("IMPORTRANGE(""https://docs.google.com/spreadsheets/d/11923uPwbBZFjjGgGUA6NLw09EwE0CqkOc4q9oUmW1yo/edit?usp=sharing"",""พิจิตร!M544"")"),0)</f>
        <v>0</v>
      </c>
      <c r="O649" s="536">
        <f t="shared" ca="1" si="132"/>
        <v>0</v>
      </c>
      <c r="P649" s="536"/>
    </row>
    <row r="650" spans="1:16" ht="21.75" customHeight="1" x14ac:dyDescent="0.4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IFERROR(__xludf.DUMMYFUNCTION("IMPORTRANGE(""https://docs.google.com/spreadsheets/d/11923uPwbBZFjjGgGUA6NLw09EwE0CqkOc4q9oUmW1yo/edit?usp=sharing"",""พิจิตร!I545"")"),200)</f>
        <v>200</v>
      </c>
      <c r="J650" s="535">
        <f ca="1">IFERROR(__xludf.DUMMYFUNCTION("IMPORTRANGE(""https://docs.google.com/spreadsheets/d/11923uPwbBZFjjGgGUA6NLw09EwE0CqkOc4q9oUmW1yo/edit?usp=sharing"",""พิจิตร!J545"")"),0)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IFERROR(__xludf.DUMMYFUNCTION("IMPORTRANGE(""https://docs.google.com/spreadsheets/d/11923uPwbBZFjjGgGUA6NLw09EwE0CqkOc4q9oUmW1yo/edit?usp=sharing"",""พิจิตร!L545"")"),1000)</f>
        <v>1000</v>
      </c>
      <c r="M650" s="520"/>
      <c r="N650" s="537">
        <f ca="1">IFERROR(__xludf.DUMMYFUNCTION("IMPORTRANGE(""https://docs.google.com/spreadsheets/d/11923uPwbBZFjjGgGUA6NLw09EwE0CqkOc4q9oUmW1yo/edit?usp=sharing"",""พิจิตร!M545"")"),0)</f>
        <v>0</v>
      </c>
      <c r="O650" s="536">
        <f t="shared" ca="1" si="132"/>
        <v>0</v>
      </c>
      <c r="P650" s="536"/>
    </row>
    <row r="651" spans="1:16" ht="21.75" customHeight="1" x14ac:dyDescent="0.4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IFERROR(__xludf.DUMMYFUNCTION("IMPORTRANGE(""https://docs.google.com/spreadsheets/d/11923uPwbBZFjjGgGUA6NLw09EwE0CqkOc4q9oUmW1yo/edit?usp=sharing"",""พิจิตร!I546"")"),90)</f>
        <v>90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IFERROR(__xludf.DUMMYFUNCTION("IMPORTRANGE(""https://docs.google.com/spreadsheets/d/11923uPwbBZFjjGgGUA6NLw09EwE0CqkOc4q9oUmW1yo/edit?usp=sharing"",""พิจิตร!L546"")"),2250)</f>
        <v>2250</v>
      </c>
      <c r="M651" s="520"/>
      <c r="N651" s="537">
        <f ca="1">IFERROR(__xludf.DUMMYFUNCTION("IMPORTRANGE(""https://docs.google.com/spreadsheets/d/11923uPwbBZFjjGgGUA6NLw09EwE0CqkOc4q9oUmW1yo/edit?usp=sharing"",""พิจิตร!M546"")"),0)</f>
        <v>0</v>
      </c>
      <c r="O651" s="536">
        <f t="shared" ca="1" si="132"/>
        <v>0</v>
      </c>
      <c r="P651" s="536"/>
    </row>
    <row r="652" spans="1:16" ht="21.75" customHeight="1" x14ac:dyDescent="0.4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IFERROR(__xludf.DUMMYFUNCTION("IMPORTRANGE(""https://docs.google.com/spreadsheets/d/11923uPwbBZFjjGgGUA6NLw09EwE0CqkOc4q9oUmW1yo/edit?usp=sharing"",""พิจิตร!J547"")"),0)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4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IFERROR(__xludf.DUMMYFUNCTION("IMPORTRANGE(""https://docs.google.com/spreadsheets/d/11923uPwbBZFjjGgGUA6NLw09EwE0CqkOc4q9oUmW1yo/edit?usp=sharing"",""พิจิตร!J548"")"),0)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4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4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IFERROR(__xludf.DUMMYFUNCTION("IMPORTRANGE(""https://docs.google.com/spreadsheets/d/11923uPwbBZFjjGgGUA6NLw09EwE0CqkOc4q9oUmW1yo/edit?usp=sharing"",""พิจิตร!J550"")"),0)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4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IFERROR(__xludf.DUMMYFUNCTION("IMPORTRANGE(""https://docs.google.com/spreadsheets/d/11923uPwbBZFjjGgGUA6NLw09EwE0CqkOc4q9oUmW1yo/edit?usp=sharing"",""พิจิตร!J551"")"),0)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4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IFERROR(__xludf.DUMMYFUNCTION("IMPORTRANGE(""https://docs.google.com/spreadsheets/d/11923uPwbBZFjjGgGUA6NLw09EwE0CqkOc4q9oUmW1yo/edit?usp=sharing"",""พิจิตร!J552"")"),0)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4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IFERROR(__xludf.DUMMYFUNCTION("IMPORTRANGE(""https://docs.google.com/spreadsheets/d/11923uPwbBZFjjGgGUA6NLw09EwE0CqkOc4q9oUmW1yo/edit?usp=sharing"",""พิจิตร!J553"")"),0)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4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IFERROR(__xludf.DUMMYFUNCTION("IMPORTRANGE(""https://docs.google.com/spreadsheets/d/11923uPwbBZFjjGgGUA6NLw09EwE0CqkOc4q9oUmW1yo/edit?usp=sharing"",""พิจิตร!J554"")"),0)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4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IFERROR(__xludf.DUMMYFUNCTION("IMPORTRANGE(""https://docs.google.com/spreadsheets/d/11923uPwbBZFjjGgGUA6NLw09EwE0CqkOc4q9oUmW1yo/edit?usp=sharing"",""พิจิตร!J555"")"),0)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4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IFERROR(__xludf.DUMMYFUNCTION("IMPORTRANGE(""https://docs.google.com/spreadsheets/d/11923uPwbBZFjjGgGUA6NLw09EwE0CqkOc4q9oUmW1yo/edit?usp=sharing"",""พิจิตร!J556"")"),0)</f>
        <v>0</v>
      </c>
      <c r="K661" s="536"/>
      <c r="L661" s="521">
        <f ca="1">IFERROR(__xludf.DUMMYFUNCTION("IMPORTRANGE(""https://docs.google.com/spreadsheets/d/11923uPwbBZFjjGgGUA6NLw09EwE0CqkOc4q9oUmW1yo/edit?usp=sharing"",""พิจิตร!L556"")"),16000)</f>
        <v>16000</v>
      </c>
      <c r="M661" s="520"/>
      <c r="N661" s="537">
        <f ca="1">IFERROR(__xludf.DUMMYFUNCTION("IMPORTRANGE(""https://docs.google.com/spreadsheets/d/11923uPwbBZFjjGgGUA6NLw09EwE0CqkOc4q9oUmW1yo/edit?usp=sharing"",""พิจิตร!M556"")"),0)</f>
        <v>0</v>
      </c>
      <c r="O661" s="536">
        <f ca="1">IF(L661&gt;0,N661*100/L661,0)</f>
        <v>0</v>
      </c>
      <c r="P661" s="536"/>
    </row>
    <row r="662" spans="1:16" ht="21.75" customHeight="1" x14ac:dyDescent="0.4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IFERROR(__xludf.DUMMYFUNCTION("IMPORTRANGE(""https://docs.google.com/spreadsheets/d/11923uPwbBZFjjGgGUA6NLw09EwE0CqkOc4q9oUmW1yo/edit?usp=sharing"",""พิจิตร!J557"")"),0)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4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IFERROR(__xludf.DUMMYFUNCTION("IMPORTRANGE(""https://docs.google.com/spreadsheets/d/11923uPwbBZFjjGgGUA6NLw09EwE0CqkOc4q9oUmW1yo/edit?usp=sharing"",""พิจิตร!I558"")"),400)</f>
        <v>400</v>
      </c>
      <c r="J663" s="535">
        <f ca="1">IFERROR(__xludf.DUMMYFUNCTION("IMPORTRANGE(""https://docs.google.com/spreadsheets/d/11923uPwbBZFjjGgGUA6NLw09EwE0CqkOc4q9oUmW1yo/edit?usp=sharing"",""พิจิตร!J558"")"),0)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4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4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IFERROR(__xludf.DUMMYFUNCTION("IMPORTRANGE(""https://docs.google.com/spreadsheets/d/11923uPwbBZFjjGgGUA6NLw09EwE0CqkOc4q9oUmW1yo/edit?usp=sharing"",""พิจิตร!I560"")"),3)</f>
        <v>3</v>
      </c>
      <c r="J665" s="535">
        <f ca="1">IFERROR(__xludf.DUMMYFUNCTION("IMPORTRANGE(""https://docs.google.com/spreadsheets/d/11923uPwbBZFjjGgGUA6NLw09EwE0CqkOc4q9oUmW1yo/edit?usp=sharing"",""พิจิตร!J560"")"),0)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IFERROR(__xludf.DUMMYFUNCTION("IMPORTRANGE(""https://docs.google.com/spreadsheets/d/11923uPwbBZFjjGgGUA6NLw09EwE0CqkOc4q9oUmW1yo/edit?usp=sharing"",""พิจิตร!L560"")"),360)</f>
        <v>360</v>
      </c>
      <c r="M665" s="520"/>
      <c r="N665" s="537">
        <f ca="1">IFERROR(__xludf.DUMMYFUNCTION("IMPORTRANGE(""https://docs.google.com/spreadsheets/d/11923uPwbBZFjjGgGUA6NLw09EwE0CqkOc4q9oUmW1yo/edit?usp=sharing"",""พิจิตร!M560"")"),0)</f>
        <v>0</v>
      </c>
      <c r="O665" s="536">
        <f ca="1">IF(L665&gt;0,N665*100/L665,0)</f>
        <v>0</v>
      </c>
      <c r="P665" s="536"/>
    </row>
    <row r="666" spans="1:16" ht="21.75" customHeight="1" x14ac:dyDescent="0.4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IFERROR(__xludf.DUMMYFUNCTION("IMPORTRANGE(""https://docs.google.com/spreadsheets/d/11923uPwbBZFjjGgGUA6NLw09EwE0CqkOc4q9oUmW1yo/edit?usp=sharing"",""พิจิตร!J561"")"),0)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4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IFERROR(__xludf.DUMMYFUNCTION("IMPORTRANGE(""https://docs.google.com/spreadsheets/d/11923uPwbBZFjjGgGUA6NLw09EwE0CqkOc4q9oUmW1yo/edit?usp=sharing"",""พิจิตร!J562"")"),0)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4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IFERROR(__xludf.DUMMYFUNCTION("IMPORTRANGE(""https://docs.google.com/spreadsheets/d/11923uPwbBZFjjGgGUA6NLw09EwE0CqkOc4q9oUmW1yo/edit?usp=sharing"",""พิจิตร!I563"")"),1)</f>
        <v>1</v>
      </c>
      <c r="J668" s="535">
        <f ca="1">IFERROR(__xludf.DUMMYFUNCTION("IMPORTRANGE(""https://docs.google.com/spreadsheets/d/11923uPwbBZFjjGgGUA6NLw09EwE0CqkOc4q9oUmW1yo/edit?usp=sharing"",""พิจิตร!J563"")"),0)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IFERROR(__xludf.DUMMYFUNCTION("IMPORTRANGE(""https://docs.google.com/spreadsheets/d/11923uPwbBZFjjGgGUA6NLw09EwE0CqkOc4q9oUmW1yo/edit?usp=sharing"",""พิจิตร!L563"")"),1720)</f>
        <v>1720</v>
      </c>
      <c r="M668" s="520"/>
      <c r="N668" s="537">
        <f ca="1">IFERROR(__xludf.DUMMYFUNCTION("IMPORTRANGE(""https://docs.google.com/spreadsheets/d/11923uPwbBZFjjGgGUA6NLw09EwE0CqkOc4q9oUmW1yo/edit?usp=sharing"",""พิจิตร!M563"")"),0)</f>
        <v>0</v>
      </c>
      <c r="O668" s="536">
        <f ca="1">IF(L668&gt;0,N668*100/L668,0)</f>
        <v>0</v>
      </c>
      <c r="P668" s="536"/>
    </row>
    <row r="669" spans="1:16" ht="21.75" customHeight="1" x14ac:dyDescent="0.4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IFERROR(__xludf.DUMMYFUNCTION("IMPORTRANGE(""https://docs.google.com/spreadsheets/d/11923uPwbBZFjjGgGUA6NLw09EwE0CqkOc4q9oUmW1yo/edit?usp=sharing"",""พิจิตร!J564"")"),0)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4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IFERROR(__xludf.DUMMYFUNCTION("IMPORTRANGE(""https://docs.google.com/spreadsheets/d/11923uPwbBZFjjGgGUA6NLw09EwE0CqkOc4q9oUmW1yo/edit?usp=sharing"",""พิจิตร!J565"")"),0)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4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IFERROR(__xludf.DUMMYFUNCTION("IMPORTRANGE(""https://docs.google.com/spreadsheets/d/11923uPwbBZFjjGgGUA6NLw09EwE0CqkOc4q9oUmW1yo/edit?usp=sharing"",""พิจิตร!I566"")"),0)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IFERROR(__xludf.DUMMYFUNCTION("IMPORTRANGE(""https://docs.google.com/spreadsheets/d/11923uPwbBZFjjGgGUA6NLw09EwE0CqkOc4q9oUmW1yo/edit?usp=sharing"",""พิจิตร!L566"")"),0)</f>
        <v>0</v>
      </c>
      <c r="M671" s="520"/>
      <c r="N671" s="537">
        <f ca="1">IFERROR(__xludf.DUMMYFUNCTION("IMPORTRANGE(""https://docs.google.com/spreadsheets/d/11923uPwbBZFjjGgGUA6NLw09EwE0CqkOc4q9oUmW1yo/edit?usp=sharing"",""พิจิตร!M566"")"),0)</f>
        <v>0</v>
      </c>
      <c r="O671" s="536">
        <f ca="1">IF(L671&gt;0,N671*100/L671,0)</f>
        <v>0</v>
      </c>
      <c r="P671" s="536"/>
    </row>
    <row r="672" spans="1:16" ht="21.75" customHeight="1" x14ac:dyDescent="0.4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IFERROR(__xludf.DUMMYFUNCTION("IMPORTRANGE(""https://docs.google.com/spreadsheets/d/11923uPwbBZFjjGgGUA6NLw09EwE0CqkOc4q9oUmW1yo/edit?usp=sharing"",""พิจิตร!J567"")"),0)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4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IFERROR(__xludf.DUMMYFUNCTION("IMPORTRANGE(""https://docs.google.com/spreadsheets/d/11923uPwbBZFjjGgGUA6NLw09EwE0CqkOc4q9oUmW1yo/edit?usp=sharing"",""พิจิตร!J568"")"),0)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4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IFERROR(__xludf.DUMMYFUNCTION("IMPORTRANGE(""https://docs.google.com/spreadsheets/d/11923uPwbBZFjjGgGUA6NLw09EwE0CqkOc4q9oUmW1yo/edit?usp=sharing"",""พิจิตร!J569"")"),0)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4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IFERROR(__xludf.DUMMYFUNCTION("IMPORTRANGE(""https://docs.google.com/spreadsheets/d/11923uPwbBZFjjGgGUA6NLw09EwE0CqkOc4q9oUmW1yo/edit?usp=sharing"",""พิจิตร!J570"")"),0)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4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IFERROR(__xludf.DUMMYFUNCTION("IMPORTRANGE(""https://docs.google.com/spreadsheets/d/11923uPwbBZFjjGgGUA6NLw09EwE0CqkOc4q9oUmW1yo/edit?usp=sharing"",""พิจิตร!J571"")"),0)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4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IFERROR(__xludf.DUMMYFUNCTION("IMPORTRANGE(""https://docs.google.com/spreadsheets/d/11923uPwbBZFjjGgGUA6NLw09EwE0CqkOc4q9oUmW1yo/edit?usp=sharing"",""พิจิตร!J572"")"),0)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3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3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3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3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3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3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3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3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3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3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3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3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3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3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3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3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3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3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3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3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3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3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3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3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3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3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3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3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3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3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3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3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3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3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3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3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3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3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3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3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3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3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3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3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3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3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3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3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3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3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3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3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3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3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3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3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3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3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3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3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3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3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3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3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3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3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3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3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3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3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3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3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3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3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3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3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3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3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3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3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3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3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3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3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3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3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3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3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3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3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3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3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3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3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3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3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3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3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3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3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3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3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3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3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3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3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3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3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3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3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3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3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3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3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3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3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3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3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3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3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3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3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3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3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3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3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3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3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3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3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3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3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3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3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3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3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3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3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3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3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3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3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3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3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3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3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3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3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3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3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3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3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3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3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3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3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3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3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3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3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3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3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3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3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3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3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3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3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3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3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3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3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3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3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3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3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3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3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3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3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3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3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3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3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3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3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3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3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3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3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3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3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3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3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3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3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3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3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3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3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3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3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3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3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3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3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3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3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3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3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3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3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3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3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3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3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3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3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3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3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3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3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3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3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3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3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3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3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3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3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3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3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3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3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3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3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3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3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3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3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3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3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3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3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3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3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3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3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3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3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3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3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3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3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3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3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3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3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3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3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3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3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3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3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3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3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3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3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3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3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3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3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3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3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3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3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3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3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3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3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3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3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3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3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3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3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3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3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3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3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3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3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3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3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3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3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3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3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3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3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3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3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3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3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3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3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3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3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3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3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3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3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3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3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3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3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3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3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3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3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3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3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3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3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3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3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3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3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3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3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3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3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3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3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3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3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3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3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3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3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3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3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3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3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3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3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3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3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3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3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3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3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3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3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3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3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3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3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3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3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3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3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3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3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3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3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3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3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3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3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3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3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3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3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3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3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3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3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3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3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3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3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3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3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3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3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3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3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3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3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3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3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3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3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3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3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3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3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3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3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3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3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3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3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3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3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3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3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3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3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3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3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3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3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3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3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3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3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3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3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3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3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3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3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3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3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3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3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3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3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3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3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3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3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3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3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3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3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3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3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3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3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3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3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3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3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3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3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3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3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3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3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3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3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3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3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3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3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3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3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3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3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3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3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3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3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oong</dc:creator>
  <cp:lastModifiedBy>Cherdchai Wangkam</cp:lastModifiedBy>
  <cp:lastPrinted>2022-06-02T09:06:43Z</cp:lastPrinted>
  <dcterms:created xsi:type="dcterms:W3CDTF">2022-08-21T01:07:29Z</dcterms:created>
  <dcterms:modified xsi:type="dcterms:W3CDTF">2022-08-21T02:12:53Z</dcterms:modified>
</cp:coreProperties>
</file>